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6"/>
  </bookViews>
  <sheets>
    <sheet name="Лист1" sheetId="1" r:id="rId1"/>
    <sheet name="2014" sheetId="2" r:id="rId2"/>
    <sheet name="2015" sheetId="3" r:id="rId3"/>
    <sheet name="2016" sheetId="4" r:id="rId4"/>
    <sheet name="Бюджет 2014" sheetId="5" r:id="rId5"/>
    <sheet name="Бюджет 2015" sheetId="6" r:id="rId6"/>
    <sheet name="Бюджет 2016" sheetId="7" r:id="rId7"/>
    <sheet name="ДДС 2014" sheetId="8" r:id="rId8"/>
    <sheet name="Лист2" sheetId="9" r:id="rId9"/>
    <sheet name="ДДС 2015" sheetId="10" r:id="rId10"/>
    <sheet name="ДДС 2016" sheetId="11" r:id="rId11"/>
  </sheets>
  <definedNames/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A10" authorId="0">
      <text>
        <r>
          <rPr>
            <b/>
            <sz val="8"/>
            <rFont val="Tahoma"/>
            <family val="0"/>
          </rPr>
          <t>Все прямые расходы, согласно полной бюджетной форме, которые явно не включены в ст. 01., 02., 03., 04., прямых расходов этой формы.</t>
        </r>
      </text>
    </comment>
    <comment ref="A16" authorId="0">
      <text>
        <r>
          <rPr>
            <b/>
            <sz val="8"/>
            <rFont val="Tahoma"/>
            <family val="0"/>
          </rPr>
          <t>Все коммерческие расходы, согласно полной бюджетной форме, которые явно не включены в ст. 01., 02., 03., 04., 05., 06., коммерческих расходов этой формы.</t>
        </r>
      </text>
    </comment>
    <comment ref="A21" authorId="0">
      <text>
        <r>
          <rPr>
            <b/>
            <sz val="8"/>
            <rFont val="Tahoma"/>
            <family val="0"/>
          </rPr>
          <t>Все управленческие расходы, согласно полной бюджетной форме, которые явно не включены в ст. 01., 02., прямых расходов этой формы.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A10" authorId="0">
      <text>
        <r>
          <rPr>
            <b/>
            <sz val="8"/>
            <rFont val="Tahoma"/>
            <family val="0"/>
          </rPr>
          <t>Все прямые расходы, согласно полной бюджетной форме, которые явно не включены в ст. 01., 02., 03., 04., прямых расходов этой формы.</t>
        </r>
      </text>
    </comment>
    <comment ref="A16" authorId="0">
      <text>
        <r>
          <rPr>
            <b/>
            <sz val="8"/>
            <rFont val="Tahoma"/>
            <family val="0"/>
          </rPr>
          <t>Все коммерческие расходы, согласно полной бюджетной форме, которые явно не включены в ст. 01., 02., 03., 04., 05., 06., коммерческих расходов этой формы.</t>
        </r>
      </text>
    </comment>
    <comment ref="A21" authorId="0">
      <text>
        <r>
          <rPr>
            <b/>
            <sz val="8"/>
            <rFont val="Tahoma"/>
            <family val="0"/>
          </rPr>
          <t>Все управленческие расходы, согласно полной бюджетной форме, которые явно не включены в ст. 01., 02., прямых расходов этой формы.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A10" authorId="0">
      <text>
        <r>
          <rPr>
            <b/>
            <sz val="8"/>
            <rFont val="Tahoma"/>
            <family val="0"/>
          </rPr>
          <t>Все прямые расходы, согласно полной бюджетной форме, которые явно не включены в ст. 01., 02., 03., 04., прямых расходов этой формы.</t>
        </r>
      </text>
    </comment>
    <comment ref="A16" authorId="0">
      <text>
        <r>
          <rPr>
            <b/>
            <sz val="8"/>
            <rFont val="Tahoma"/>
            <family val="0"/>
          </rPr>
          <t>Все коммерческие расходы, согласно полной бюджетной форме, которые явно не включены в ст. 01., 02., 03., 04., 05., 06., коммерческих расходов этой формы.</t>
        </r>
      </text>
    </comment>
    <comment ref="A21" authorId="0">
      <text>
        <r>
          <rPr>
            <b/>
            <sz val="8"/>
            <rFont val="Tahoma"/>
            <family val="0"/>
          </rPr>
          <t>Все управленческие расходы, согласно полной бюджетной форме, которые явно не включены в ст. 01., 02., прямых расходов этой формы.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<sst xmlns="http://schemas.openxmlformats.org/spreadsheetml/2006/main" count="469" uniqueCount="169">
  <si>
    <t>Затраты</t>
  </si>
  <si>
    <t>Статья затрат</t>
  </si>
  <si>
    <t>Прочие расходы</t>
  </si>
  <si>
    <t>Автоуслуги грузового транспорта</t>
  </si>
  <si>
    <t>Автоуслуги по доставке груза на склад (грузовой автотранспорт)</t>
  </si>
  <si>
    <t>Амортизация производственного оборудования</t>
  </si>
  <si>
    <t>Аренда зданий, сооружений и помещений</t>
  </si>
  <si>
    <t>Водоснабжение и канализация</t>
  </si>
  <si>
    <t>Городская и междугородняя телефонная связь</t>
  </si>
  <si>
    <t>Горюче-смазочные материалы</t>
  </si>
  <si>
    <t>Закупка слесарного инструмента</t>
  </si>
  <si>
    <t>Мобильная связь</t>
  </si>
  <si>
    <t>Налог на имущество</t>
  </si>
  <si>
    <t>Налог на прибыль в федеральный бюджет</t>
  </si>
  <si>
    <t>Налоги от заработной платы</t>
  </si>
  <si>
    <t>НДС</t>
  </si>
  <si>
    <t>Обучение персонала</t>
  </si>
  <si>
    <t>Охрана зданий, сооружений и помещений</t>
  </si>
  <si>
    <t>Прочие начисления сотрудникам</t>
  </si>
  <si>
    <t>Расходные материалы и техобслуживание</t>
  </si>
  <si>
    <t>Сырье и материалы</t>
  </si>
  <si>
    <t>Текущий ремонт производственного оборудования</t>
  </si>
  <si>
    <t>Теплоснабжение</t>
  </si>
  <si>
    <t>Электроснабжение</t>
  </si>
  <si>
    <t>ИТОГО:</t>
  </si>
  <si>
    <t>Должность</t>
  </si>
  <si>
    <t>количество</t>
  </si>
  <si>
    <t>Оклад</t>
  </si>
  <si>
    <t>Итого</t>
  </si>
  <si>
    <t>Оператор оборудования</t>
  </si>
  <si>
    <t>Рабочий</t>
  </si>
  <si>
    <t>Наладчик - мастер смены</t>
  </si>
  <si>
    <t>Подсобный рабочий склада</t>
  </si>
  <si>
    <t>сжигание отходов от производства</t>
  </si>
  <si>
    <t>12 000 руб/мес</t>
  </si>
  <si>
    <t>8 300 руб/мес</t>
  </si>
  <si>
    <t>% от оклада как премия</t>
  </si>
  <si>
    <t>37 000 руб/мес</t>
  </si>
  <si>
    <t>18 000 - 20 000 руб/год</t>
  </si>
  <si>
    <t>35 000 - 40 000 руб. / год</t>
  </si>
  <si>
    <t>2 600 руб/мес</t>
  </si>
  <si>
    <t>3 500 руб/мес</t>
  </si>
  <si>
    <t>6 000 руб/мес</t>
  </si>
  <si>
    <t>195 000 руб/мес</t>
  </si>
  <si>
    <t>2,3 руб/ м. пог.</t>
  </si>
  <si>
    <t xml:space="preserve"> </t>
  </si>
  <si>
    <t>15 руб/м. пог. Без НДС</t>
  </si>
  <si>
    <t>150 Х 5,6 Х 8 = 6 720 руб/смену</t>
  </si>
  <si>
    <t>5 руб/ пог м</t>
  </si>
  <si>
    <t>100000 / год</t>
  </si>
  <si>
    <t>50000 / год весна-осень</t>
  </si>
  <si>
    <t>8000 / мес</t>
  </si>
  <si>
    <t>2,3% от стоимости  оборудования в год</t>
  </si>
  <si>
    <t>Страхование оборудования</t>
  </si>
  <si>
    <t>Страхование товара</t>
  </si>
  <si>
    <t>0,8 % от от месячного оборота</t>
  </si>
  <si>
    <t>от максимального</t>
  </si>
  <si>
    <t>37,50 р/ь без НДС</t>
  </si>
  <si>
    <t>443 520  ян, фев, март, апрель, май</t>
  </si>
  <si>
    <t>887040 остальное</t>
  </si>
  <si>
    <t>5,21 без НДС / п.м.</t>
  </si>
  <si>
    <t>100  руб/м без НДС если все отдать</t>
  </si>
  <si>
    <t>смотрящий  72 000</t>
  </si>
  <si>
    <t xml:space="preserve">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</si>
  <si>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</si>
  <si>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</si>
  <si>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</si>
  <si>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</si>
  <si>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</si>
  <si>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</si>
  <si>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</si>
  <si>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</si>
  <si>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</si>
  <si>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</si>
  <si>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</si>
  <si>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</si>
  <si>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Примечания</t>
  </si>
  <si>
    <t>Статьи затрат</t>
  </si>
  <si>
    <t>Итого расходов</t>
  </si>
  <si>
    <t>Закупка  инструмента</t>
  </si>
  <si>
    <t xml:space="preserve">продажи </t>
  </si>
  <si>
    <t xml:space="preserve">ФОТ без налогов </t>
  </si>
  <si>
    <t>Статья дохода (расхода)</t>
  </si>
  <si>
    <t>1 квартал 2014</t>
  </si>
  <si>
    <t>2 квартал 2014</t>
  </si>
  <si>
    <t>1 полугодие 2014</t>
  </si>
  <si>
    <t>3 квартал 2014</t>
  </si>
  <si>
    <t>9 месяцев 2014</t>
  </si>
  <si>
    <t>4 квартал 2014</t>
  </si>
  <si>
    <t>Бюджет 2014</t>
  </si>
  <si>
    <t>110. ВЫРУЧКА ОТ РЕАЛИЗАЦИИ</t>
  </si>
  <si>
    <t>Выручка от реализации</t>
  </si>
  <si>
    <t>ПРЯМЫЕ РАСХОДЫ</t>
  </si>
  <si>
    <t>КОММЕРЧЕСКИЕ РАСХОДЫ</t>
  </si>
  <si>
    <t>ПРИБЫЛЬ (УБЫТОК) ДО НАЛОГООБЛОЖЕНИЯ</t>
  </si>
  <si>
    <t>НАЛОГ НА ПРИБЫЛЬ, ВСЕГО</t>
  </si>
  <si>
    <t>ЧИСТАЯ ПРИБЫЛЬ (УБЫТОК) ДО ДИВИДЕНДОВ</t>
  </si>
  <si>
    <t>ДИВИДЕНДЫ ВЫПЛАЧЕННЫЕ</t>
  </si>
  <si>
    <t>ЧИСТАЯ ПРИБЫЛЬ (УБЫТОК) ВСЕГО</t>
  </si>
  <si>
    <t>Прямая зарплата,премии (в т.ч. НДФЛ)</t>
  </si>
  <si>
    <t>ЕСН на зарплату</t>
  </si>
  <si>
    <t>Покупная стоимость сырья и материалов</t>
  </si>
  <si>
    <t>Прочие прямые расходы</t>
  </si>
  <si>
    <t>Непредвиденные расходы</t>
  </si>
  <si>
    <t>1 квартал 2015</t>
  </si>
  <si>
    <t>2 квартал 2015</t>
  </si>
  <si>
    <t>1 полугодие 2015</t>
  </si>
  <si>
    <t>3 квартал 2015</t>
  </si>
  <si>
    <t>9 месяцев 2015</t>
  </si>
  <si>
    <t>4 квартал 2015</t>
  </si>
  <si>
    <t>Бюджет 2015</t>
  </si>
  <si>
    <t>1 квартал 2016</t>
  </si>
  <si>
    <t>2 квартал 2016</t>
  </si>
  <si>
    <t>1 полугодие 2016</t>
  </si>
  <si>
    <t>3 квартал 2016</t>
  </si>
  <si>
    <t>9 месяцев 2016</t>
  </si>
  <si>
    <t>4 квартал 2016</t>
  </si>
  <si>
    <t>Бюджет 2016</t>
  </si>
  <si>
    <t>600000 пресс-форма для фильер, 450000 изготоление алюм.профиля</t>
  </si>
  <si>
    <t>Анализ движения денежных средств</t>
  </si>
  <si>
    <t>Период: Сентябрь 2013 г.</t>
  </si>
  <si>
    <t>Показатели: В валюте операций(Поступления, Платежи);</t>
  </si>
  <si>
    <t>Группировки строк: Статья движения денежных средств (Элементы); Подразделение (Элементы);</t>
  </si>
  <si>
    <t>Отборы:
Организация Равно ООО "АиФ-Верхняя Волга";</t>
  </si>
  <si>
    <t>Статья движения денежных средств</t>
  </si>
  <si>
    <t>Поступления</t>
  </si>
  <si>
    <t>Платежи</t>
  </si>
  <si>
    <t>Остаток денежных средств</t>
  </si>
  <si>
    <t>Заемные средства</t>
  </si>
  <si>
    <t>Представительские расходы</t>
  </si>
  <si>
    <t>Командировочные расходы</t>
  </si>
  <si>
    <t>Расходы на аренду помещений</t>
  </si>
  <si>
    <t>Услуги банка</t>
  </si>
  <si>
    <t>Услуги связи (сотовая,стационарная,интернет)</t>
  </si>
  <si>
    <t>Расходы на подбор и обучение персонала</t>
  </si>
  <si>
    <t>Хоз.расходы и прочие расходы</t>
  </si>
  <si>
    <t>Итог</t>
  </si>
  <si>
    <t xml:space="preserve">Транспортные расходы </t>
  </si>
  <si>
    <t>Расходы на охрану помещений</t>
  </si>
  <si>
    <t>Расходы на страхование оборудования,товара</t>
  </si>
  <si>
    <t>Расходы на содержание зданий, помещений</t>
  </si>
  <si>
    <t>Расходы на ремонт оборудования</t>
  </si>
  <si>
    <t>Расходы на ТО,ПО</t>
  </si>
  <si>
    <t>Расходы на сырье и материалы</t>
  </si>
  <si>
    <t>Зар.плата,%, договоры подряда с НДФЛ</t>
  </si>
  <si>
    <t>ЕСН, в ФСС от несчат.случаев</t>
  </si>
  <si>
    <t>Расходы приобретение оборудования,инструмента</t>
  </si>
  <si>
    <t>Водитель позрузика штабилера</t>
  </si>
  <si>
    <t>Проект размещения оборудования</t>
  </si>
  <si>
    <t>Закупка  инструмента,оборудования</t>
  </si>
  <si>
    <t>Погрузчик-штабилер - 2 шт (1 млн.руб. за шт)</t>
  </si>
  <si>
    <t>Сертификация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</si>
  <si>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</si>
  <si>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</si>
  <si>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</si>
  <si>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</si>
  <si>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</si>
  <si>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</si>
  <si>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</si>
  <si>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</si>
  <si>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</si>
  <si>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</si>
  <si>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</si>
  <si>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</si>
  <si>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аттестация рабочих мест</t>
  </si>
  <si>
    <t>атестация рабочих мест</t>
  </si>
  <si>
    <t>5 лет</t>
  </si>
  <si>
    <t>Аттестация рабочих мест</t>
  </si>
  <si>
    <t>Налог на прибыль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</si>
</sst>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0.000"/>
    <numFmt numFmtId="167" formatCode="#,##0.00;[Red]\-#,##0.00"/>
    <numFmt numFmtId="168" formatCode="#,##0.000000_ ;[Red]\-#,##0.000000\ "/>
    <numFmt numFmtId="169" formatCode="#,##0.00_ ;[Red]\-#,##0.00\ "/>
    <numFmt numFmtId="170" formatCode="0.00;[Red]\-0.00"/>
    <numFmt numFmtId="171" formatCode="#,##0.00000_ ;[Red]\-#,##0.00000\ "/>
    <numFmt numFmtId="172" formatCode="#,##0.0000_ ;[Red]\-#,##0.0000\ "/>
    <numFmt numFmtId="173" formatCode="#,##0.000_ ;[Red]\-#,##0.000\ "/>
    <numFmt numFmtId="174" formatCode="#,##0.0_ ;[Red]\-#,##0.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8"/>
      <name val="Arial"/>
      <family val="2"/>
    </font>
    <font>
      <b/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Continuous" vertical="top" wrapText="1"/>
    </xf>
    <xf numFmtId="0" fontId="0" fillId="0" borderId="0" xfId="0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0" fillId="0" borderId="11" xfId="0" applyNumberFormat="1" applyBorder="1" applyAlignment="1">
      <alignment horizontal="left" vertical="top" wrapText="1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164" fontId="9" fillId="0" borderId="13" xfId="81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2" fontId="0" fillId="0" borderId="13" xfId="0" applyNumberForma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" fillId="0" borderId="0" xfId="65" applyAlignment="1">
      <alignment horizontal="left"/>
      <protection/>
    </xf>
    <xf numFmtId="0" fontId="7" fillId="0" borderId="0" xfId="65">
      <alignment/>
      <protection/>
    </xf>
    <xf numFmtId="0" fontId="4" fillId="0" borderId="13" xfId="65" applyNumberFormat="1" applyFont="1" applyFill="1" applyBorder="1" applyAlignment="1">
      <alignment horizontal="left" vertical="top" wrapText="1"/>
      <protection/>
    </xf>
    <xf numFmtId="0" fontId="4" fillId="0" borderId="13" xfId="65" applyNumberFormat="1" applyFont="1" applyFill="1" applyBorder="1" applyAlignment="1">
      <alignment horizontal="center" vertical="top" wrapText="1"/>
      <protection/>
    </xf>
    <xf numFmtId="167" fontId="4" fillId="0" borderId="13" xfId="65" applyNumberFormat="1" applyFont="1" applyFill="1" applyBorder="1" applyAlignment="1">
      <alignment horizontal="center" vertical="top" wrapText="1"/>
      <protection/>
    </xf>
    <xf numFmtId="169" fontId="4" fillId="0" borderId="13" xfId="65" applyNumberFormat="1" applyFont="1" applyFill="1" applyBorder="1" applyAlignment="1">
      <alignment horizontal="center" vertical="top" wrapText="1"/>
      <protection/>
    </xf>
    <xf numFmtId="167" fontId="4" fillId="0" borderId="13" xfId="65" applyNumberFormat="1" applyFont="1" applyFill="1" applyBorder="1" applyAlignment="1">
      <alignment horizontal="right" vertical="top" wrapText="1"/>
      <protection/>
    </xf>
    <xf numFmtId="0" fontId="4" fillId="0" borderId="13" xfId="65" applyNumberFormat="1" applyFont="1" applyFill="1" applyBorder="1" applyAlignment="1">
      <alignment horizontal="right" vertical="top" wrapText="1"/>
      <protection/>
    </xf>
    <xf numFmtId="0" fontId="7" fillId="33" borderId="0" xfId="65" applyFill="1">
      <alignment/>
      <protection/>
    </xf>
    <xf numFmtId="0" fontId="4" fillId="33" borderId="13" xfId="65" applyNumberFormat="1" applyFont="1" applyFill="1" applyBorder="1" applyAlignment="1">
      <alignment horizontal="left" vertical="top" wrapText="1"/>
      <protection/>
    </xf>
    <xf numFmtId="0" fontId="4" fillId="33" borderId="13" xfId="65" applyNumberFormat="1" applyFont="1" applyFill="1" applyBorder="1" applyAlignment="1">
      <alignment horizontal="right" vertical="top" wrapText="1"/>
      <protection/>
    </xf>
    <xf numFmtId="167" fontId="4" fillId="33" borderId="13" xfId="65" applyNumberFormat="1" applyFont="1" applyFill="1" applyBorder="1" applyAlignment="1">
      <alignment horizontal="right" vertical="top" wrapText="1"/>
      <protection/>
    </xf>
    <xf numFmtId="0" fontId="9" fillId="0" borderId="0" xfId="65" applyFont="1" applyAlignment="1">
      <alignment horizontal="left"/>
      <protection/>
    </xf>
    <xf numFmtId="170" fontId="4" fillId="0" borderId="13" xfId="65" applyNumberFormat="1" applyFont="1" applyFill="1" applyBorder="1" applyAlignment="1">
      <alignment horizontal="right" vertical="top" wrapText="1"/>
      <protection/>
    </xf>
    <xf numFmtId="0" fontId="4" fillId="34" borderId="13" xfId="60" applyNumberFormat="1" applyFont="1" applyFill="1" applyBorder="1" applyAlignment="1">
      <alignment horizontal="left" vertical="top"/>
      <protection/>
    </xf>
    <xf numFmtId="17" fontId="4" fillId="34" borderId="13" xfId="60" applyNumberFormat="1" applyFont="1" applyFill="1" applyBorder="1" applyAlignment="1">
      <alignment horizontal="center" vertical="top"/>
      <protection/>
    </xf>
    <xf numFmtId="0" fontId="4" fillId="34" borderId="13" xfId="60" applyNumberFormat="1" applyFont="1" applyFill="1" applyBorder="1" applyAlignment="1">
      <alignment horizontal="center" vertical="top" wrapText="1"/>
      <protection/>
    </xf>
    <xf numFmtId="0" fontId="4" fillId="0" borderId="0" xfId="65" applyFont="1" applyFill="1" applyAlignment="1">
      <alignment horizontal="center"/>
      <protection/>
    </xf>
    <xf numFmtId="3" fontId="13" fillId="0" borderId="13" xfId="66" applyNumberFormat="1" applyFont="1" applyFill="1" applyBorder="1" applyAlignment="1">
      <alignment horizontal="left" wrapText="1"/>
      <protection/>
    </xf>
    <xf numFmtId="4" fontId="13" fillId="0" borderId="13" xfId="66" applyNumberFormat="1" applyFont="1" applyFill="1" applyBorder="1" applyAlignment="1">
      <alignment horizontal="center" wrapText="1"/>
      <protection/>
    </xf>
    <xf numFmtId="2" fontId="4" fillId="0" borderId="13" xfId="65" applyNumberFormat="1" applyFont="1" applyFill="1" applyBorder="1" applyAlignment="1">
      <alignment horizontal="center"/>
      <protection/>
    </xf>
    <xf numFmtId="4" fontId="13" fillId="35" borderId="13" xfId="66" applyNumberFormat="1" applyFont="1" applyFill="1" applyBorder="1" applyAlignment="1">
      <alignment horizontal="left" wrapText="1"/>
      <protection/>
    </xf>
    <xf numFmtId="4" fontId="13" fillId="35" borderId="13" xfId="66" applyNumberFormat="1" applyFont="1" applyFill="1" applyBorder="1" applyAlignment="1">
      <alignment horizontal="center" wrapText="1"/>
      <protection/>
    </xf>
    <xf numFmtId="4" fontId="4" fillId="35" borderId="13" xfId="65" applyNumberFormat="1" applyFont="1" applyFill="1" applyBorder="1" applyAlignment="1">
      <alignment horizontal="center"/>
      <protection/>
    </xf>
    <xf numFmtId="4" fontId="4" fillId="0" borderId="0" xfId="65" applyNumberFormat="1" applyFont="1" applyFill="1" applyAlignment="1">
      <alignment horizontal="center"/>
      <protection/>
    </xf>
    <xf numFmtId="4" fontId="13" fillId="36" borderId="13" xfId="71" applyNumberFormat="1" applyFont="1" applyFill="1" applyBorder="1" applyAlignment="1">
      <alignment horizontal="left" wrapText="1"/>
      <protection/>
    </xf>
    <xf numFmtId="4" fontId="13" fillId="36" borderId="13" xfId="71" applyNumberFormat="1" applyFont="1" applyFill="1" applyBorder="1" applyAlignment="1">
      <alignment horizontal="center" wrapText="1"/>
      <protection/>
    </xf>
    <xf numFmtId="4" fontId="4" fillId="35" borderId="13" xfId="65" applyNumberFormat="1" applyFont="1" applyFill="1" applyBorder="1" applyAlignment="1" applyProtection="1">
      <alignment horizontal="center"/>
      <protection/>
    </xf>
    <xf numFmtId="4" fontId="13" fillId="0" borderId="13" xfId="72" applyNumberFormat="1" applyFont="1" applyFill="1" applyBorder="1" applyAlignment="1">
      <alignment horizontal="left" wrapText="1"/>
      <protection/>
    </xf>
    <xf numFmtId="4" fontId="13" fillId="0" borderId="13" xfId="72" applyNumberFormat="1" applyFont="1" applyFill="1" applyBorder="1" applyAlignment="1">
      <alignment horizontal="center" wrapText="1"/>
      <protection/>
    </xf>
    <xf numFmtId="4" fontId="13" fillId="36" borderId="13" xfId="73" applyNumberFormat="1" applyFont="1" applyFill="1" applyBorder="1" applyAlignment="1">
      <alignment horizontal="left" wrapText="1"/>
      <protection/>
    </xf>
    <xf numFmtId="4" fontId="13" fillId="36" borderId="13" xfId="73" applyNumberFormat="1" applyFont="1" applyFill="1" applyBorder="1" applyAlignment="1">
      <alignment horizontal="center" wrapText="1"/>
      <protection/>
    </xf>
    <xf numFmtId="4" fontId="13" fillId="36" borderId="13" xfId="74" applyNumberFormat="1" applyFont="1" applyFill="1" applyBorder="1" applyAlignment="1">
      <alignment horizontal="left" wrapText="1"/>
      <protection/>
    </xf>
    <xf numFmtId="4" fontId="13" fillId="36" borderId="13" xfId="74" applyNumberFormat="1" applyFont="1" applyFill="1" applyBorder="1" applyAlignment="1">
      <alignment horizontal="center" wrapText="1"/>
      <protection/>
    </xf>
    <xf numFmtId="4" fontId="13" fillId="0" borderId="13" xfId="52" applyNumberFormat="1" applyFont="1" applyFill="1" applyBorder="1" applyAlignment="1">
      <alignment horizontal="left" wrapText="1"/>
      <protection/>
    </xf>
    <xf numFmtId="4" fontId="13" fillId="0" borderId="13" xfId="52" applyNumberFormat="1" applyFont="1" applyFill="1" applyBorder="1" applyAlignment="1">
      <alignment horizontal="center" wrapText="1"/>
      <protection/>
    </xf>
    <xf numFmtId="4" fontId="4" fillId="0" borderId="13" xfId="65" applyNumberFormat="1" applyFont="1" applyFill="1" applyBorder="1" applyAlignment="1">
      <alignment horizontal="center"/>
      <protection/>
    </xf>
    <xf numFmtId="4" fontId="13" fillId="35" borderId="13" xfId="52" applyNumberFormat="1" applyFont="1" applyFill="1" applyBorder="1" applyAlignment="1">
      <alignment horizontal="left" wrapText="1"/>
      <protection/>
    </xf>
    <xf numFmtId="4" fontId="13" fillId="35" borderId="13" xfId="52" applyNumberFormat="1" applyFont="1" applyFill="1" applyBorder="1" applyAlignment="1">
      <alignment horizontal="center" wrapText="1"/>
      <protection/>
    </xf>
    <xf numFmtId="4" fontId="13" fillId="35" borderId="13" xfId="53" applyNumberFormat="1" applyFont="1" applyFill="1" applyBorder="1" applyAlignment="1">
      <alignment horizontal="left" wrapText="1"/>
      <protection/>
    </xf>
    <xf numFmtId="4" fontId="13" fillId="35" borderId="13" xfId="53" applyNumberFormat="1" applyFont="1" applyFill="1" applyBorder="1" applyAlignment="1">
      <alignment horizontal="center" wrapText="1"/>
      <protection/>
    </xf>
    <xf numFmtId="4" fontId="13" fillId="35" borderId="13" xfId="54" applyNumberFormat="1" applyFont="1" applyFill="1" applyBorder="1" applyAlignment="1">
      <alignment horizontal="left" wrapText="1"/>
      <protection/>
    </xf>
    <xf numFmtId="4" fontId="13" fillId="35" borderId="13" xfId="54" applyNumberFormat="1" applyFont="1" applyFill="1" applyBorder="1" applyAlignment="1">
      <alignment horizontal="center" wrapText="1"/>
      <protection/>
    </xf>
    <xf numFmtId="4" fontId="13" fillId="35" borderId="13" xfId="74" applyNumberFormat="1" applyFont="1" applyFill="1" applyBorder="1" applyAlignment="1">
      <alignment horizontal="left" wrapText="1"/>
      <protection/>
    </xf>
    <xf numFmtId="4" fontId="13" fillId="35" borderId="13" xfId="74" applyNumberFormat="1" applyFont="1" applyFill="1" applyBorder="1" applyAlignment="1">
      <alignment horizontal="center" wrapText="1"/>
      <protection/>
    </xf>
    <xf numFmtId="4" fontId="13" fillId="0" borderId="13" xfId="55" applyNumberFormat="1" applyFont="1" applyFill="1" applyBorder="1" applyAlignment="1">
      <alignment horizontal="left" wrapText="1"/>
      <protection/>
    </xf>
    <xf numFmtId="4" fontId="13" fillId="0" borderId="13" xfId="55" applyNumberFormat="1" applyFont="1" applyFill="1" applyBorder="1" applyAlignment="1">
      <alignment horizontal="center" wrapText="1"/>
      <protection/>
    </xf>
    <xf numFmtId="4" fontId="13" fillId="0" borderId="13" xfId="56" applyNumberFormat="1" applyFont="1" applyFill="1" applyBorder="1" applyAlignment="1">
      <alignment horizontal="left" wrapText="1"/>
      <protection/>
    </xf>
    <xf numFmtId="4" fontId="13" fillId="0" borderId="13" xfId="56" applyNumberFormat="1" applyFont="1" applyFill="1" applyBorder="1" applyAlignment="1">
      <alignment horizontal="center" wrapText="1"/>
      <protection/>
    </xf>
    <xf numFmtId="4" fontId="13" fillId="35" borderId="13" xfId="57" applyNumberFormat="1" applyFont="1" applyFill="1" applyBorder="1" applyAlignment="1">
      <alignment horizontal="left" wrapText="1"/>
      <protection/>
    </xf>
    <xf numFmtId="4" fontId="13" fillId="35" borderId="13" xfId="57" applyNumberFormat="1" applyFont="1" applyFill="1" applyBorder="1" applyAlignment="1">
      <alignment horizontal="center" wrapText="1"/>
      <protection/>
    </xf>
    <xf numFmtId="4" fontId="13" fillId="35" borderId="13" xfId="58" applyNumberFormat="1" applyFont="1" applyFill="1" applyBorder="1" applyAlignment="1">
      <alignment horizontal="left" wrapText="1"/>
      <protection/>
    </xf>
    <xf numFmtId="4" fontId="13" fillId="35" borderId="13" xfId="58" applyNumberFormat="1" applyFont="1" applyFill="1" applyBorder="1" applyAlignment="1">
      <alignment horizontal="center" wrapText="1"/>
      <protection/>
    </xf>
    <xf numFmtId="4" fontId="13" fillId="0" borderId="13" xfId="59" applyNumberFormat="1" applyFont="1" applyFill="1" applyBorder="1" applyAlignment="1">
      <alignment horizontal="left" wrapText="1"/>
      <protection/>
    </xf>
    <xf numFmtId="4" fontId="13" fillId="0" borderId="13" xfId="59" applyNumberFormat="1" applyFont="1" applyFill="1" applyBorder="1" applyAlignment="1">
      <alignment horizontal="center" wrapText="1"/>
      <protection/>
    </xf>
    <xf numFmtId="3" fontId="13" fillId="35" borderId="13" xfId="61" applyNumberFormat="1" applyFont="1" applyFill="1" applyBorder="1" applyAlignment="1">
      <alignment horizontal="left" wrapText="1"/>
      <protection/>
    </xf>
    <xf numFmtId="3" fontId="13" fillId="35" borderId="13" xfId="61" applyNumberFormat="1" applyFont="1" applyFill="1" applyBorder="1" applyAlignment="1">
      <alignment horizontal="center" wrapText="1"/>
      <protection/>
    </xf>
    <xf numFmtId="3" fontId="4" fillId="35" borderId="13" xfId="65" applyNumberFormat="1" applyFont="1" applyFill="1" applyBorder="1" applyAlignment="1" applyProtection="1">
      <alignment horizontal="center"/>
      <protection/>
    </xf>
    <xf numFmtId="3" fontId="4" fillId="0" borderId="0" xfId="65" applyNumberFormat="1" applyFont="1" applyFill="1" applyAlignment="1">
      <alignment horizontal="center"/>
      <protection/>
    </xf>
    <xf numFmtId="4" fontId="13" fillId="0" borderId="13" xfId="62" applyNumberFormat="1" applyFont="1" applyFill="1" applyBorder="1" applyAlignment="1">
      <alignment horizontal="left" wrapText="1"/>
      <protection/>
    </xf>
    <xf numFmtId="4" fontId="13" fillId="0" borderId="13" xfId="62" applyNumberFormat="1" applyFont="1" applyFill="1" applyBorder="1" applyAlignment="1">
      <alignment horizontal="center" wrapText="1"/>
      <protection/>
    </xf>
    <xf numFmtId="4" fontId="13" fillId="35" borderId="13" xfId="63" applyNumberFormat="1" applyFont="1" applyFill="1" applyBorder="1" applyAlignment="1">
      <alignment horizontal="left" wrapText="1"/>
      <protection/>
    </xf>
    <xf numFmtId="4" fontId="13" fillId="35" borderId="13" xfId="63" applyNumberFormat="1" applyFont="1" applyFill="1" applyBorder="1" applyAlignment="1">
      <alignment horizontal="center" wrapText="1"/>
      <protection/>
    </xf>
    <xf numFmtId="4" fontId="13" fillId="0" borderId="13" xfId="64" applyNumberFormat="1" applyFont="1" applyFill="1" applyBorder="1" applyAlignment="1">
      <alignment horizontal="left" wrapText="1"/>
      <protection/>
    </xf>
    <xf numFmtId="4" fontId="13" fillId="0" borderId="13" xfId="64" applyNumberFormat="1" applyFont="1" applyFill="1" applyBorder="1" applyAlignment="1">
      <alignment horizontal="center" wrapText="1"/>
      <protection/>
    </xf>
    <xf numFmtId="0" fontId="4" fillId="0" borderId="0" xfId="65" applyFont="1" applyAlignment="1">
      <alignment horizontal="center"/>
      <protection/>
    </xf>
    <xf numFmtId="0" fontId="4" fillId="0" borderId="0" xfId="65" applyFont="1" applyBorder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9" fillId="0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9" fillId="0" borderId="0" xfId="65" applyNumberFormat="1" applyFont="1" applyFill="1" applyAlignment="1">
      <alignment horizontal="left" vertical="top" wrapText="1"/>
      <protection/>
    </xf>
    <xf numFmtId="0" fontId="9" fillId="0" borderId="0" xfId="65" applyFont="1" applyFill="1">
      <alignment/>
      <protection/>
    </xf>
    <xf numFmtId="0" fontId="9" fillId="0" borderId="0" xfId="65" applyFont="1">
      <alignment/>
      <protection/>
    </xf>
    <xf numFmtId="0" fontId="9" fillId="0" borderId="13" xfId="65" applyFont="1" applyFill="1" applyBorder="1" applyAlignment="1">
      <alignment horizontal="left"/>
      <protection/>
    </xf>
    <xf numFmtId="2" fontId="4" fillId="0" borderId="13" xfId="65" applyNumberFormat="1" applyFont="1" applyFill="1" applyBorder="1" applyAlignment="1">
      <alignment horizontal="right"/>
      <protection/>
    </xf>
    <xf numFmtId="0" fontId="4" fillId="0" borderId="0" xfId="65" applyNumberFormat="1" applyFont="1" applyFill="1" applyAlignment="1">
      <alignment horizontal="left" vertical="top"/>
      <protection/>
    </xf>
    <xf numFmtId="0" fontId="9" fillId="0" borderId="0" xfId="65" applyNumberFormat="1" applyFont="1" applyFill="1" applyAlignment="1">
      <alignment horizontal="left" vertical="top"/>
      <protection/>
    </xf>
    <xf numFmtId="0" fontId="7" fillId="0" borderId="0" xfId="65" applyNumberFormat="1" applyFont="1" applyFill="1" applyAlignment="1">
      <alignment horizontal="left" vertical="top" wrapText="1"/>
      <protection/>
    </xf>
    <xf numFmtId="17" fontId="4" fillId="0" borderId="13" xfId="65" applyNumberFormat="1" applyFont="1" applyFill="1" applyBorder="1" applyAlignment="1">
      <alignment horizontal="center" vertical="top" wrapText="1"/>
      <protection/>
    </xf>
    <xf numFmtId="0" fontId="4" fillId="0" borderId="13" xfId="65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1" fontId="0" fillId="0" borderId="13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3" xfId="0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 vertical="center" wrapText="1"/>
    </xf>
    <xf numFmtId="164" fontId="9" fillId="0" borderId="13" xfId="8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65" applyFont="1" applyFill="1">
      <alignment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9" xfId="59"/>
    <cellStyle name="Обычный 2" xfId="60"/>
    <cellStyle name="Обычный 20" xfId="61"/>
    <cellStyle name="Обычный 21" xfId="62"/>
    <cellStyle name="Обычный 22" xfId="63"/>
    <cellStyle name="Обычный 23" xfId="64"/>
    <cellStyle name="Обычный 3" xfId="65"/>
    <cellStyle name="Обычный 3 2" xfId="66"/>
    <cellStyle name="Обычный 3 3" xfId="67"/>
    <cellStyle name="Обычный 3 4" xfId="68"/>
    <cellStyle name="Обычный 3 5" xfId="69"/>
    <cellStyle name="Обычный 5" xfId="70"/>
    <cellStyle name="Обычный 6" xfId="71"/>
    <cellStyle name="Обычный 7" xfId="72"/>
    <cellStyle name="Обычный 8" xfId="73"/>
    <cellStyle name="Обычный 9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5">
      <selection activeCell="D42" sqref="D42"/>
    </sheetView>
  </sheetViews>
  <sheetFormatPr defaultColWidth="9.140625" defaultRowHeight="15"/>
  <cols>
    <col min="1" max="1" width="60.8515625" style="2" customWidth="1"/>
    <col min="2" max="2" width="33.00390625" style="0" customWidth="1"/>
    <col min="3" max="3" width="16.8515625" style="0" customWidth="1"/>
    <col min="4" max="4" width="23.421875" style="0" customWidth="1"/>
    <col min="5" max="5" width="35.421875" style="0" customWidth="1"/>
    <col min="6" max="6" width="19.140625" style="0" customWidth="1"/>
  </cols>
  <sheetData>
    <row r="1" ht="15.75">
      <c r="A1" s="1" t="s">
        <v>0</v>
      </c>
    </row>
    <row r="2" ht="15">
      <c r="A2"/>
    </row>
    <row r="3" ht="15">
      <c r="A3"/>
    </row>
    <row r="4" ht="15">
      <c r="A4"/>
    </row>
    <row r="5" ht="15">
      <c r="A5"/>
    </row>
    <row r="6" ht="15">
      <c r="A6"/>
    </row>
    <row r="7" ht="15.75" thickBot="1"/>
    <row r="8" ht="15.75" thickBot="1">
      <c r="A8" s="3" t="s">
        <v>1</v>
      </c>
    </row>
    <row r="9" ht="15">
      <c r="A9" s="4" t="s">
        <v>2</v>
      </c>
    </row>
    <row r="10" ht="15">
      <c r="A10" s="4" t="s">
        <v>3</v>
      </c>
    </row>
    <row r="11" spans="1:4" ht="16.5" customHeight="1">
      <c r="A11" s="4" t="s">
        <v>4</v>
      </c>
      <c r="B11" t="s">
        <v>44</v>
      </c>
      <c r="D11" t="s">
        <v>48</v>
      </c>
    </row>
    <row r="12" ht="15">
      <c r="A12" s="4" t="s">
        <v>5</v>
      </c>
    </row>
    <row r="13" spans="1:4" ht="15">
      <c r="A13" s="4" t="s">
        <v>6</v>
      </c>
      <c r="B13" t="s">
        <v>43</v>
      </c>
      <c r="D13">
        <v>195000</v>
      </c>
    </row>
    <row r="14" spans="1:4" ht="15">
      <c r="A14" s="4" t="s">
        <v>7</v>
      </c>
      <c r="B14" t="s">
        <v>40</v>
      </c>
      <c r="D14">
        <v>5200</v>
      </c>
    </row>
    <row r="15" spans="1:2" ht="15">
      <c r="A15" s="4" t="s">
        <v>8</v>
      </c>
      <c r="B15" t="s">
        <v>42</v>
      </c>
    </row>
    <row r="16" ht="15">
      <c r="A16" s="4" t="s">
        <v>9</v>
      </c>
    </row>
    <row r="17" spans="1:4" ht="15">
      <c r="A17" s="4" t="s">
        <v>10</v>
      </c>
      <c r="B17" t="s">
        <v>39</v>
      </c>
      <c r="D17" t="s">
        <v>49</v>
      </c>
    </row>
    <row r="18" spans="1:4" ht="15">
      <c r="A18" s="4" t="s">
        <v>11</v>
      </c>
      <c r="B18" t="s">
        <v>41</v>
      </c>
      <c r="D18">
        <v>3500</v>
      </c>
    </row>
    <row r="19" ht="15">
      <c r="A19" s="4" t="s">
        <v>12</v>
      </c>
    </row>
    <row r="20" ht="15">
      <c r="A20" s="4" t="s">
        <v>13</v>
      </c>
    </row>
    <row r="21" ht="15">
      <c r="A21" s="4" t="s">
        <v>14</v>
      </c>
    </row>
    <row r="22" ht="15">
      <c r="A22" s="4" t="s">
        <v>15</v>
      </c>
    </row>
    <row r="23" spans="1:4" ht="15">
      <c r="A23" s="4" t="s">
        <v>16</v>
      </c>
      <c r="B23" t="s">
        <v>38</v>
      </c>
      <c r="D23" t="s">
        <v>50</v>
      </c>
    </row>
    <row r="24" spans="1:4" ht="15">
      <c r="A24" s="4" t="s">
        <v>17</v>
      </c>
      <c r="B24" t="s">
        <v>37</v>
      </c>
      <c r="D24" t="s">
        <v>37</v>
      </c>
    </row>
    <row r="25" spans="1:2" ht="15">
      <c r="A25" s="4" t="s">
        <v>18</v>
      </c>
      <c r="B25" t="s">
        <v>36</v>
      </c>
    </row>
    <row r="26" ht="15">
      <c r="A26" s="4" t="s">
        <v>2</v>
      </c>
    </row>
    <row r="27" spans="1:4" ht="15">
      <c r="A27" s="4" t="s">
        <v>19</v>
      </c>
      <c r="B27" t="s">
        <v>35</v>
      </c>
      <c r="D27" t="s">
        <v>51</v>
      </c>
    </row>
    <row r="28" spans="1:2" ht="15">
      <c r="A28" s="15" t="s">
        <v>53</v>
      </c>
      <c r="B28" t="s">
        <v>52</v>
      </c>
    </row>
    <row r="29" spans="1:4" ht="15">
      <c r="A29" s="15" t="s">
        <v>54</v>
      </c>
      <c r="B29" t="s">
        <v>55</v>
      </c>
      <c r="D29" t="s">
        <v>56</v>
      </c>
    </row>
    <row r="30" spans="1:5" ht="15">
      <c r="A30" s="4" t="s">
        <v>20</v>
      </c>
      <c r="B30" t="s">
        <v>46</v>
      </c>
      <c r="D30" t="s">
        <v>57</v>
      </c>
      <c r="E30" t="s">
        <v>61</v>
      </c>
    </row>
    <row r="31" spans="1:4" ht="15">
      <c r="A31" s="4" t="s">
        <v>21</v>
      </c>
      <c r="B31" t="s">
        <v>34</v>
      </c>
      <c r="D31">
        <v>12000</v>
      </c>
    </row>
    <row r="32" spans="1:2" ht="15">
      <c r="A32" s="4" t="s">
        <v>22</v>
      </c>
      <c r="B32" t="s">
        <v>33</v>
      </c>
    </row>
    <row r="33" spans="1:6" ht="15">
      <c r="A33" s="4" t="s">
        <v>23</v>
      </c>
      <c r="B33" t="s">
        <v>47</v>
      </c>
      <c r="E33" t="s">
        <v>58</v>
      </c>
      <c r="F33" t="s">
        <v>59</v>
      </c>
    </row>
    <row r="34" spans="1:4" ht="15.75" thickBot="1">
      <c r="A34" s="5" t="s">
        <v>24</v>
      </c>
      <c r="D34" t="s">
        <v>60</v>
      </c>
    </row>
    <row r="37" spans="1:4" ht="15">
      <c r="A37" s="6" t="s">
        <v>25</v>
      </c>
      <c r="B37" s="6" t="s">
        <v>26</v>
      </c>
      <c r="C37" s="6" t="s">
        <v>27</v>
      </c>
      <c r="D37" s="6" t="s">
        <v>28</v>
      </c>
    </row>
    <row r="38" spans="1:4" ht="15">
      <c r="A38" s="11" t="s">
        <v>31</v>
      </c>
      <c r="B38" s="12">
        <v>2</v>
      </c>
      <c r="C38" s="9">
        <v>50000</v>
      </c>
      <c r="D38" s="9">
        <f>B38*C38</f>
        <v>100000</v>
      </c>
    </row>
    <row r="39" spans="1:4" ht="15">
      <c r="A39" s="11" t="s">
        <v>29</v>
      </c>
      <c r="B39" s="12">
        <v>4</v>
      </c>
      <c r="C39" s="9">
        <v>35000</v>
      </c>
      <c r="D39" s="9">
        <f>B39*C39</f>
        <v>140000</v>
      </c>
    </row>
    <row r="40" spans="1:4" ht="15">
      <c r="A40" s="7" t="s">
        <v>30</v>
      </c>
      <c r="B40" s="8">
        <v>4</v>
      </c>
      <c r="C40" s="9">
        <v>25000</v>
      </c>
      <c r="D40" s="9">
        <f>B40*C40</f>
        <v>100000</v>
      </c>
    </row>
    <row r="41" spans="1:4" ht="15">
      <c r="A41" s="7" t="s">
        <v>32</v>
      </c>
      <c r="B41" s="8">
        <v>4</v>
      </c>
      <c r="C41" s="9">
        <v>18000</v>
      </c>
      <c r="D41" s="9">
        <f>B41*C41</f>
        <v>72000</v>
      </c>
    </row>
    <row r="42" spans="1:4" ht="15">
      <c r="A42" s="7" t="s">
        <v>147</v>
      </c>
      <c r="B42" s="8">
        <v>2</v>
      </c>
      <c r="C42" s="9">
        <v>30000</v>
      </c>
      <c r="D42" s="9">
        <f>B42*C42</f>
        <v>60000</v>
      </c>
    </row>
    <row r="43" spans="1:5" ht="15">
      <c r="A43" s="14" t="s">
        <v>28</v>
      </c>
      <c r="B43" s="13"/>
      <c r="C43" s="10"/>
      <c r="D43" s="10">
        <f>SUM(D38:D42)</f>
        <v>472000</v>
      </c>
      <c r="E43">
        <v>1076000</v>
      </c>
    </row>
    <row r="44" ht="15">
      <c r="A44" s="2" t="s">
        <v>45</v>
      </c>
    </row>
    <row r="45" spans="1:4" ht="15">
      <c r="A45" s="2" t="s">
        <v>63</v>
      </c>
      <c r="D45" s="22"/>
    </row>
    <row r="46" ht="15">
      <c r="A46" s="2" t="s">
        <v>62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0"/>
  <sheetViews>
    <sheetView view="pageBreakPreview" zoomScaleSheetLayoutView="100" zoomScalePageLayoutView="0" workbookViewId="0" topLeftCell="M7">
      <selection activeCell="Y14" sqref="Y14"/>
    </sheetView>
  </sheetViews>
  <sheetFormatPr defaultColWidth="9.140625" defaultRowHeight="15"/>
  <cols>
    <col min="1" max="1" width="2.00390625" style="41" customWidth="1"/>
    <col min="2" max="2" width="42.8515625" style="109" customWidth="1"/>
    <col min="3" max="9" width="12.421875" style="109" customWidth="1"/>
    <col min="10" max="10" width="12.421875" style="113" customWidth="1"/>
    <col min="11" max="11" width="12.421875" style="109" customWidth="1"/>
    <col min="12" max="12" width="12.421875" style="113" customWidth="1"/>
    <col min="13" max="13" width="12.421875" style="109" customWidth="1"/>
    <col min="14" max="14" width="12.421875" style="113" customWidth="1"/>
    <col min="15" max="15" width="12.421875" style="109" customWidth="1"/>
    <col min="16" max="16" width="12.421875" style="113" customWidth="1"/>
    <col min="17" max="17" width="12.421875" style="109" customWidth="1"/>
    <col min="18" max="18" width="12.421875" style="113" customWidth="1"/>
    <col min="19" max="19" width="12.421875" style="109" customWidth="1"/>
    <col min="20" max="20" width="12.421875" style="113" customWidth="1"/>
    <col min="21" max="21" width="12.421875" style="109" customWidth="1"/>
    <col min="22" max="22" width="12.421875" style="113" customWidth="1"/>
    <col min="23" max="23" width="12.421875" style="109" customWidth="1"/>
    <col min="24" max="24" width="12.421875" style="113" customWidth="1"/>
    <col min="25" max="25" width="12.421875" style="109" customWidth="1"/>
    <col min="26" max="26" width="12.421875" style="113" customWidth="1"/>
    <col min="27" max="30" width="12.421875" style="42" customWidth="1"/>
    <col min="31" max="16384" width="9.140625" style="42" customWidth="1"/>
  </cols>
  <sheetData>
    <row r="1" spans="2:26" s="41" customFormat="1" ht="15.75" customHeight="1" hidden="1">
      <c r="B1" s="116" t="s">
        <v>119</v>
      </c>
      <c r="C1" s="109"/>
      <c r="D1" s="109"/>
      <c r="E1" s="109"/>
      <c r="F1" s="109"/>
      <c r="G1" s="109"/>
      <c r="H1" s="109"/>
      <c r="I1" s="109"/>
      <c r="J1" s="110"/>
      <c r="K1" s="109"/>
      <c r="L1" s="110"/>
      <c r="M1" s="109"/>
      <c r="N1" s="110"/>
      <c r="O1" s="109"/>
      <c r="P1" s="110"/>
      <c r="Q1" s="109"/>
      <c r="R1" s="110"/>
      <c r="S1" s="109"/>
      <c r="T1" s="110"/>
      <c r="U1" s="109"/>
      <c r="V1" s="110"/>
      <c r="W1" s="109"/>
      <c r="X1" s="110"/>
      <c r="Y1" s="109"/>
      <c r="Z1" s="110"/>
    </row>
    <row r="2" spans="2:26" s="41" customFormat="1" ht="11.25" customHeight="1" hidden="1">
      <c r="B2" s="117" t="s">
        <v>120</v>
      </c>
      <c r="C2" s="109"/>
      <c r="D2" s="109"/>
      <c r="E2" s="109"/>
      <c r="F2" s="109"/>
      <c r="G2" s="109"/>
      <c r="H2" s="109"/>
      <c r="I2" s="109"/>
      <c r="J2" s="110"/>
      <c r="K2" s="109"/>
      <c r="L2" s="110"/>
      <c r="M2" s="109"/>
      <c r="N2" s="110"/>
      <c r="O2" s="109"/>
      <c r="P2" s="110"/>
      <c r="Q2" s="109"/>
      <c r="R2" s="110"/>
      <c r="S2" s="109"/>
      <c r="T2" s="110"/>
      <c r="U2" s="109"/>
      <c r="V2" s="110"/>
      <c r="W2" s="109"/>
      <c r="X2" s="110"/>
      <c r="Y2" s="109"/>
      <c r="Z2" s="110"/>
    </row>
    <row r="3" spans="2:26" s="41" customFormat="1" ht="11.25" customHeight="1" hidden="1">
      <c r="B3" s="117" t="s">
        <v>121</v>
      </c>
      <c r="C3" s="109"/>
      <c r="D3" s="109"/>
      <c r="E3" s="109"/>
      <c r="F3" s="109"/>
      <c r="G3" s="109"/>
      <c r="H3" s="109"/>
      <c r="I3" s="109"/>
      <c r="J3" s="110"/>
      <c r="K3" s="109"/>
      <c r="L3" s="110"/>
      <c r="M3" s="109"/>
      <c r="N3" s="110"/>
      <c r="O3" s="109"/>
      <c r="P3" s="110"/>
      <c r="Q3" s="109"/>
      <c r="R3" s="110"/>
      <c r="S3" s="109"/>
      <c r="T3" s="110"/>
      <c r="U3" s="109"/>
      <c r="V3" s="110"/>
      <c r="W3" s="109"/>
      <c r="X3" s="110"/>
      <c r="Y3" s="109"/>
      <c r="Z3" s="110"/>
    </row>
    <row r="4" spans="2:26" s="41" customFormat="1" ht="11.25" customHeight="1" hidden="1">
      <c r="B4" s="117" t="s">
        <v>122</v>
      </c>
      <c r="C4" s="109"/>
      <c r="D4" s="109"/>
      <c r="E4" s="109"/>
      <c r="F4" s="109"/>
      <c r="G4" s="109"/>
      <c r="H4" s="109"/>
      <c r="I4" s="109"/>
      <c r="J4" s="110"/>
      <c r="K4" s="109"/>
      <c r="L4" s="110"/>
      <c r="M4" s="109"/>
      <c r="N4" s="110"/>
      <c r="O4" s="109"/>
      <c r="P4" s="110"/>
      <c r="Q4" s="109"/>
      <c r="R4" s="110"/>
      <c r="S4" s="109"/>
      <c r="T4" s="110"/>
      <c r="U4" s="109"/>
      <c r="V4" s="110"/>
      <c r="W4" s="109"/>
      <c r="X4" s="110"/>
      <c r="Y4" s="109"/>
      <c r="Z4" s="110"/>
    </row>
    <row r="5" spans="2:26" s="41" customFormat="1" ht="22.5" customHeight="1" hidden="1">
      <c r="B5" s="118" t="s">
        <v>123</v>
      </c>
      <c r="C5" s="118"/>
      <c r="D5" s="118"/>
      <c r="E5" s="111"/>
      <c r="F5" s="111"/>
      <c r="G5" s="111"/>
      <c r="H5" s="111"/>
      <c r="I5" s="111"/>
      <c r="J5" s="110"/>
      <c r="K5" s="111"/>
      <c r="L5" s="110"/>
      <c r="M5" s="111"/>
      <c r="N5" s="110"/>
      <c r="O5" s="111"/>
      <c r="P5" s="110"/>
      <c r="Q5" s="111"/>
      <c r="R5" s="110"/>
      <c r="S5" s="111"/>
      <c r="T5" s="110"/>
      <c r="U5" s="111"/>
      <c r="V5" s="110"/>
      <c r="W5" s="111"/>
      <c r="X5" s="110"/>
      <c r="Y5" s="111"/>
      <c r="Z5" s="110"/>
    </row>
    <row r="6" spans="1:25" ht="12.75" hidden="1">
      <c r="A6" s="42"/>
      <c r="B6" s="112"/>
      <c r="C6" s="112"/>
      <c r="D6" s="112"/>
      <c r="E6" s="112"/>
      <c r="F6" s="112"/>
      <c r="G6" s="112"/>
      <c r="H6" s="112"/>
      <c r="I6" s="112"/>
      <c r="K6" s="112"/>
      <c r="M6" s="112"/>
      <c r="O6" s="112"/>
      <c r="Q6" s="112"/>
      <c r="S6" s="112"/>
      <c r="U6" s="112"/>
      <c r="W6" s="112"/>
      <c r="Y6" s="112"/>
    </row>
    <row r="7" spans="1:25" ht="12.75">
      <c r="A7" s="42"/>
      <c r="B7" s="141">
        <v>2015</v>
      </c>
      <c r="C7" s="112"/>
      <c r="D7" s="112"/>
      <c r="E7" s="112"/>
      <c r="F7" s="112"/>
      <c r="G7" s="112"/>
      <c r="H7" s="112"/>
      <c r="I7" s="112"/>
      <c r="K7" s="112"/>
      <c r="M7" s="112"/>
      <c r="O7" s="112"/>
      <c r="Q7" s="112"/>
      <c r="S7" s="112"/>
      <c r="U7" s="112"/>
      <c r="W7" s="112"/>
      <c r="Y7" s="112"/>
    </row>
    <row r="8" spans="1:26" ht="11.25" customHeight="1">
      <c r="A8" s="42"/>
      <c r="B8" s="43" t="s">
        <v>124</v>
      </c>
      <c r="C8" s="119" t="s">
        <v>152</v>
      </c>
      <c r="D8" s="120"/>
      <c r="E8" s="119" t="s">
        <v>153</v>
      </c>
      <c r="F8" s="120"/>
      <c r="G8" s="119" t="s">
        <v>154</v>
      </c>
      <c r="H8" s="120"/>
      <c r="I8" s="119" t="s">
        <v>155</v>
      </c>
      <c r="J8" s="120"/>
      <c r="K8" s="119" t="s">
        <v>156</v>
      </c>
      <c r="L8" s="120"/>
      <c r="M8" s="119" t="s">
        <v>157</v>
      </c>
      <c r="N8" s="120"/>
      <c r="O8" s="119" t="s">
        <v>158</v>
      </c>
      <c r="P8" s="120"/>
      <c r="Q8" s="119" t="s">
        <v>159</v>
      </c>
      <c r="R8" s="120"/>
      <c r="S8" s="119" t="s">
        <v>160</v>
      </c>
      <c r="T8" s="120"/>
      <c r="U8" s="119" t="s">
        <v>161</v>
      </c>
      <c r="V8" s="120"/>
      <c r="W8" s="119" t="s">
        <v>162</v>
      </c>
      <c r="X8" s="120"/>
      <c r="Y8" s="119" t="s">
        <v>163</v>
      </c>
      <c r="Z8" s="120"/>
    </row>
    <row r="9" spans="1:26" ht="11.25" customHeight="1">
      <c r="A9" s="42"/>
      <c r="B9" s="43"/>
      <c r="C9" s="44" t="s">
        <v>125</v>
      </c>
      <c r="D9" s="44" t="s">
        <v>126</v>
      </c>
      <c r="E9" s="44" t="s">
        <v>125</v>
      </c>
      <c r="F9" s="44" t="s">
        <v>126</v>
      </c>
      <c r="G9" s="44" t="s">
        <v>125</v>
      </c>
      <c r="H9" s="44" t="s">
        <v>126</v>
      </c>
      <c r="I9" s="44" t="s">
        <v>125</v>
      </c>
      <c r="J9" s="44" t="s">
        <v>126</v>
      </c>
      <c r="K9" s="44" t="s">
        <v>125</v>
      </c>
      <c r="L9" s="44" t="s">
        <v>126</v>
      </c>
      <c r="M9" s="44" t="s">
        <v>125</v>
      </c>
      <c r="N9" s="44" t="s">
        <v>126</v>
      </c>
      <c r="O9" s="44" t="s">
        <v>125</v>
      </c>
      <c r="P9" s="44" t="s">
        <v>126</v>
      </c>
      <c r="Q9" s="44" t="s">
        <v>125</v>
      </c>
      <c r="R9" s="44" t="s">
        <v>126</v>
      </c>
      <c r="S9" s="44" t="s">
        <v>125</v>
      </c>
      <c r="T9" s="44" t="s">
        <v>126</v>
      </c>
      <c r="U9" s="44" t="s">
        <v>125</v>
      </c>
      <c r="V9" s="44" t="s">
        <v>126</v>
      </c>
      <c r="W9" s="44" t="s">
        <v>125</v>
      </c>
      <c r="X9" s="44" t="s">
        <v>126</v>
      </c>
      <c r="Y9" s="44" t="s">
        <v>125</v>
      </c>
      <c r="Z9" s="44" t="s">
        <v>126</v>
      </c>
    </row>
    <row r="10" spans="1:26" ht="11.25" customHeight="1">
      <c r="A10" s="42"/>
      <c r="B10" s="43" t="s">
        <v>127</v>
      </c>
      <c r="C10" s="45">
        <v>-79519597.59</v>
      </c>
      <c r="D10" s="45"/>
      <c r="E10" s="45">
        <f>C10+C60-D60</f>
        <v>-76186174.40648</v>
      </c>
      <c r="F10" s="44"/>
      <c r="G10" s="45">
        <f>E10+E60-F60</f>
        <v>-78209273.60648</v>
      </c>
      <c r="H10" s="44"/>
      <c r="I10" s="45">
        <f>G10+G60-H60</f>
        <v>-82278774.80648</v>
      </c>
      <c r="J10" s="44"/>
      <c r="K10" s="45">
        <f>I10+I60-J60</f>
        <v>-61545874.00648001</v>
      </c>
      <c r="L10" s="44"/>
      <c r="M10" s="45">
        <f>K10+K60-L60</f>
        <v>-40202186.20648001</v>
      </c>
      <c r="N10" s="44"/>
      <c r="O10" s="46">
        <f>M10+M60-N60</f>
        <v>-35553124.906480014</v>
      </c>
      <c r="P10" s="44"/>
      <c r="Q10" s="46">
        <f>O10+O60-P60</f>
        <v>-35788995.60648002</v>
      </c>
      <c r="R10" s="44"/>
      <c r="S10" s="46">
        <f>Q10+Q60-R60</f>
        <v>-31139934.306480017</v>
      </c>
      <c r="T10" s="44"/>
      <c r="U10" s="46">
        <f>S10+S60-T60</f>
        <v>-31222847.406480018</v>
      </c>
      <c r="V10" s="44"/>
      <c r="W10" s="46">
        <f>U10+U60-V60</f>
        <v>-18241022.606480017</v>
      </c>
      <c r="X10" s="44"/>
      <c r="Y10" s="46">
        <f>W10+W60-X60</f>
        <v>-16451923.806480017</v>
      </c>
      <c r="Z10" s="44"/>
    </row>
    <row r="11" spans="2:26" s="41" customFormat="1" ht="5.25" customHeight="1"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11.25" customHeight="1">
      <c r="A12" s="42"/>
      <c r="B12" s="43" t="s">
        <v>128</v>
      </c>
      <c r="C12" s="47"/>
      <c r="D12" s="48"/>
      <c r="E12" s="47"/>
      <c r="F12" s="48"/>
      <c r="G12" s="47"/>
      <c r="H12" s="48"/>
      <c r="I12" s="47"/>
      <c r="J12" s="48"/>
      <c r="K12" s="47"/>
      <c r="L12" s="48"/>
      <c r="M12" s="47"/>
      <c r="N12" s="48"/>
      <c r="O12" s="47"/>
      <c r="P12" s="48"/>
      <c r="Q12" s="47"/>
      <c r="R12" s="48"/>
      <c r="S12" s="47"/>
      <c r="T12" s="48"/>
      <c r="U12" s="47"/>
      <c r="V12" s="48"/>
      <c r="W12" s="47"/>
      <c r="X12" s="48"/>
      <c r="Y12" s="47"/>
      <c r="Z12" s="48"/>
    </row>
    <row r="13" spans="2:26" s="41" customFormat="1" ht="4.5" customHeight="1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11.25" customHeight="1">
      <c r="A14" s="42"/>
      <c r="B14" s="43" t="s">
        <v>91</v>
      </c>
      <c r="C14" s="47">
        <f>'2014'!L35*30%+'2014'!M35</f>
        <v>5813814.68352</v>
      </c>
      <c r="D14" s="48"/>
      <c r="E14" s="47">
        <f>'2015'!C35</f>
        <v>925695</v>
      </c>
      <c r="F14" s="48"/>
      <c r="G14" s="47">
        <f>'2015'!D35</f>
        <v>1851525</v>
      </c>
      <c r="H14" s="48"/>
      <c r="I14" s="47">
        <f>'2015'!E35</f>
        <v>30087180</v>
      </c>
      <c r="J14" s="48"/>
      <c r="K14" s="47">
        <f>'2015'!F35</f>
        <v>30087180</v>
      </c>
      <c r="L14" s="48"/>
      <c r="M14" s="47">
        <f>'2015'!G35</f>
        <v>15274980</v>
      </c>
      <c r="N14" s="48"/>
      <c r="O14" s="47">
        <f>'2015'!H35</f>
        <v>15274980</v>
      </c>
      <c r="P14" s="48"/>
      <c r="Q14" s="47">
        <f>'2015'!I35</f>
        <v>15274980</v>
      </c>
      <c r="R14" s="48"/>
      <c r="S14" s="47">
        <f>'2015'!J35</f>
        <v>15274980</v>
      </c>
      <c r="T14" s="48"/>
      <c r="U14" s="47">
        <f>'2015'!K35</f>
        <v>30087180</v>
      </c>
      <c r="V14" s="48"/>
      <c r="W14" s="47">
        <f>'2015'!L35*50%</f>
        <v>15043590</v>
      </c>
      <c r="X14" s="48"/>
      <c r="Y14" s="47">
        <f>'2015'!L35*50%</f>
        <v>15043590</v>
      </c>
      <c r="Z14" s="48"/>
    </row>
    <row r="15" spans="2:26" s="41" customFormat="1" ht="4.5" customHeight="1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12.75" customHeight="1">
      <c r="A16" s="42"/>
      <c r="B16" s="43" t="s">
        <v>137</v>
      </c>
      <c r="C16" s="48"/>
      <c r="D16" s="47">
        <f>'2015'!C8</f>
        <v>37713.5</v>
      </c>
      <c r="E16" s="48"/>
      <c r="F16" s="47">
        <f>'2015'!C8</f>
        <v>37713.5</v>
      </c>
      <c r="G16" s="48"/>
      <c r="H16" s="47">
        <f>'2015'!D8</f>
        <v>75432.5</v>
      </c>
      <c r="I16" s="48"/>
      <c r="J16" s="47">
        <f>'2015'!E8</f>
        <v>1225774</v>
      </c>
      <c r="K16" s="48"/>
      <c r="L16" s="47">
        <f>'2015'!F8</f>
        <v>1225774</v>
      </c>
      <c r="M16" s="48"/>
      <c r="N16" s="47">
        <f>'2015'!G8</f>
        <v>622314</v>
      </c>
      <c r="O16" s="48"/>
      <c r="P16" s="47">
        <f>'2015'!H8</f>
        <v>622314</v>
      </c>
      <c r="Q16" s="48"/>
      <c r="R16" s="47">
        <f>'2015'!I8</f>
        <v>622314</v>
      </c>
      <c r="S16" s="48"/>
      <c r="T16" s="47">
        <f>'2015'!J8</f>
        <v>622314</v>
      </c>
      <c r="U16" s="48"/>
      <c r="V16" s="47">
        <f>'2015'!K8</f>
        <v>1225774</v>
      </c>
      <c r="W16" s="48"/>
      <c r="X16" s="47">
        <f>'2015'!L8</f>
        <v>1225774</v>
      </c>
      <c r="Y16" s="48"/>
      <c r="Z16" s="47">
        <f>'2015'!M8</f>
        <v>37713.5</v>
      </c>
    </row>
    <row r="17" spans="2:26" s="41" customFormat="1" ht="4.5" customHeight="1"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2:26" s="49" customFormat="1" ht="11.25" customHeight="1">
      <c r="B18" s="50" t="s">
        <v>145</v>
      </c>
      <c r="C18" s="51"/>
      <c r="D18" s="52"/>
      <c r="E18" s="51"/>
      <c r="F18" s="52">
        <f>'2015'!B18*30.2%</f>
        <v>377379.2</v>
      </c>
      <c r="G18" s="51"/>
      <c r="H18" s="52">
        <f>'2015'!C18*30.2%</f>
        <v>377379.2</v>
      </c>
      <c r="I18" s="51"/>
      <c r="J18" s="52">
        <f>'2015'!D18*30.2%</f>
        <v>377379.2</v>
      </c>
      <c r="K18" s="51"/>
      <c r="L18" s="52">
        <f>'2015'!E18*30.2%</f>
        <v>377379.2</v>
      </c>
      <c r="M18" s="51"/>
      <c r="N18" s="52">
        <f>'2015'!F18*30.2%</f>
        <v>377379.2</v>
      </c>
      <c r="O18" s="51"/>
      <c r="P18" s="52">
        <f>'2015'!G18*30.2%</f>
        <v>377379.2</v>
      </c>
      <c r="Q18" s="51"/>
      <c r="R18" s="52">
        <f>'2015'!H18*30.2%</f>
        <v>377379.2</v>
      </c>
      <c r="S18" s="51"/>
      <c r="T18" s="52">
        <f>'2015'!I18*30.2%</f>
        <v>377379.2</v>
      </c>
      <c r="U18" s="51"/>
      <c r="V18" s="52">
        <f>'2015'!J18*30.2%</f>
        <v>377379.2</v>
      </c>
      <c r="W18" s="51"/>
      <c r="X18" s="52">
        <f>'2015'!K18*30.2%</f>
        <v>377379.2</v>
      </c>
      <c r="Y18" s="51"/>
      <c r="Z18" s="52">
        <f>'2015'!L18*30.2%</f>
        <v>377379.2</v>
      </c>
    </row>
    <row r="19" spans="2:26" s="41" customFormat="1" ht="4.5" customHeight="1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11.25" customHeight="1">
      <c r="A20" s="42"/>
      <c r="B20" s="43" t="s">
        <v>144</v>
      </c>
      <c r="C20" s="48"/>
      <c r="D20" s="47">
        <f>'2015'!B18*40%</f>
        <v>499840</v>
      </c>
      <c r="E20" s="48"/>
      <c r="F20" s="47">
        <f>'2015'!C18</f>
        <v>1249600</v>
      </c>
      <c r="G20" s="48"/>
      <c r="H20" s="47">
        <f>'2015'!D18</f>
        <v>1249600</v>
      </c>
      <c r="I20" s="48"/>
      <c r="J20" s="47">
        <f>'2015'!E18</f>
        <v>1249600</v>
      </c>
      <c r="K20" s="48"/>
      <c r="L20" s="47">
        <f>'2015'!F18</f>
        <v>1249600</v>
      </c>
      <c r="M20" s="48"/>
      <c r="N20" s="47">
        <f>'2015'!G18</f>
        <v>1249600</v>
      </c>
      <c r="O20" s="48"/>
      <c r="P20" s="47">
        <f>'2015'!H18</f>
        <v>1249600</v>
      </c>
      <c r="Q20" s="48"/>
      <c r="R20" s="47">
        <f>'2015'!I18</f>
        <v>1249600</v>
      </c>
      <c r="S20" s="48"/>
      <c r="T20" s="47">
        <f>'2015'!J18</f>
        <v>1249600</v>
      </c>
      <c r="U20" s="48"/>
      <c r="V20" s="47">
        <f>'2015'!K18</f>
        <v>1249600</v>
      </c>
      <c r="W20" s="48"/>
      <c r="X20" s="47">
        <f>'2015'!L18</f>
        <v>1249600</v>
      </c>
      <c r="Y20" s="48"/>
      <c r="Z20" s="47">
        <f>'2015'!M18</f>
        <v>1249600</v>
      </c>
    </row>
    <row r="21" spans="2:26" s="41" customFormat="1" ht="4.5" customHeight="1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12" customHeight="1">
      <c r="A22" s="42"/>
      <c r="B22" s="43" t="s">
        <v>139</v>
      </c>
      <c r="C22" s="48"/>
      <c r="D22" s="47"/>
      <c r="E22" s="48"/>
      <c r="F22" s="47"/>
      <c r="G22" s="48"/>
      <c r="H22" s="47"/>
      <c r="I22" s="48"/>
      <c r="J22" s="47"/>
      <c r="K22" s="48"/>
      <c r="L22" s="47"/>
      <c r="M22" s="48"/>
      <c r="N22" s="47"/>
      <c r="O22" s="48"/>
      <c r="P22" s="47"/>
      <c r="Q22" s="48"/>
      <c r="R22" s="47"/>
      <c r="S22" s="48"/>
      <c r="T22" s="47">
        <f>'2015'!B26+'2015'!G27</f>
        <v>4706974.4</v>
      </c>
      <c r="U22" s="48"/>
      <c r="V22" s="47"/>
      <c r="W22" s="48"/>
      <c r="X22" s="47"/>
      <c r="Y22" s="48"/>
      <c r="Z22" s="47"/>
    </row>
    <row r="23" spans="2:26" s="41" customFormat="1" ht="4.5" customHeight="1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11.25" customHeight="1">
      <c r="A24" s="42"/>
      <c r="B24" s="43" t="s">
        <v>143</v>
      </c>
      <c r="C24" s="48"/>
      <c r="D24" s="47"/>
      <c r="E24" s="48"/>
      <c r="F24" s="47">
        <f>'2015'!C28</f>
        <v>257137.5</v>
      </c>
      <c r="G24" s="48"/>
      <c r="H24" s="47">
        <f>'2015'!D28</f>
        <v>514312.5</v>
      </c>
      <c r="I24" s="48"/>
      <c r="J24" s="47">
        <f>'2015'!E28*50%</f>
        <v>4178775</v>
      </c>
      <c r="K24" s="48"/>
      <c r="L24" s="47">
        <f>'2015'!F28*50%</f>
        <v>4178775</v>
      </c>
      <c r="M24" s="48"/>
      <c r="N24" s="47">
        <f>'2015'!E28*25%+'2015'!G28</f>
        <v>6332437.5</v>
      </c>
      <c r="O24" s="48"/>
      <c r="P24" s="47">
        <f>'2015'!H28+'2015'!E28*25%</f>
        <v>6332437.5</v>
      </c>
      <c r="Q24" s="48"/>
      <c r="R24" s="47">
        <f>'2015'!I28+'2015'!F28*25%+'2015'!B28</f>
        <v>6332437.5</v>
      </c>
      <c r="S24" s="48"/>
      <c r="T24" s="47">
        <f>'2015'!J28+'2015'!F28*25%</f>
        <v>6332437.5</v>
      </c>
      <c r="U24" s="48"/>
      <c r="V24" s="47">
        <f>'2015'!K28</f>
        <v>8357550</v>
      </c>
      <c r="W24" s="48"/>
      <c r="X24" s="47">
        <f>'2015'!L28</f>
        <v>8357550</v>
      </c>
      <c r="Y24" s="48"/>
      <c r="Z24" s="47">
        <f>'2015'!M28</f>
        <v>257137.5</v>
      </c>
    </row>
    <row r="25" spans="2:26" s="41" customFormat="1" ht="4.5" customHeight="1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15" customHeight="1">
      <c r="A26" s="42"/>
      <c r="B26" s="43" t="s">
        <v>142</v>
      </c>
      <c r="C26" s="48"/>
      <c r="D26" s="47">
        <f>'2015'!B25</f>
        <v>8000</v>
      </c>
      <c r="E26" s="48"/>
      <c r="F26" s="47">
        <f>'2015'!C25</f>
        <v>8000</v>
      </c>
      <c r="G26" s="48"/>
      <c r="H26" s="47">
        <f>'2015'!D25</f>
        <v>8000</v>
      </c>
      <c r="I26" s="48"/>
      <c r="J26" s="47">
        <f>'2015'!E25</f>
        <v>8000</v>
      </c>
      <c r="K26" s="48"/>
      <c r="L26" s="47">
        <f>'2015'!F25</f>
        <v>8000</v>
      </c>
      <c r="M26" s="48"/>
      <c r="N26" s="47">
        <f>'2015'!G25</f>
        <v>8000</v>
      </c>
      <c r="O26" s="48"/>
      <c r="P26" s="47">
        <f>'2015'!H25</f>
        <v>8000</v>
      </c>
      <c r="Q26" s="48"/>
      <c r="R26" s="47">
        <f>'2015'!I25</f>
        <v>8000</v>
      </c>
      <c r="S26" s="48"/>
      <c r="T26" s="47">
        <f>'2015'!J25</f>
        <v>8000</v>
      </c>
      <c r="U26" s="48"/>
      <c r="V26" s="47">
        <f>'2015'!K25</f>
        <v>8000</v>
      </c>
      <c r="W26" s="48"/>
      <c r="X26" s="47">
        <f>'2015'!L25</f>
        <v>8000</v>
      </c>
      <c r="Y26" s="48"/>
      <c r="Z26" s="47">
        <f>'2015'!M25</f>
        <v>8000</v>
      </c>
    </row>
    <row r="27" spans="2:26" s="41" customFormat="1" ht="4.5" customHeight="1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14.25" customHeight="1">
      <c r="A28" s="42"/>
      <c r="B28" s="43" t="s">
        <v>146</v>
      </c>
      <c r="C28" s="48"/>
      <c r="D28" s="47">
        <f>'2015'!B14</f>
        <v>40000</v>
      </c>
      <c r="E28" s="48"/>
      <c r="F28" s="47"/>
      <c r="G28" s="48"/>
      <c r="H28" s="47"/>
      <c r="I28" s="48"/>
      <c r="J28" s="47">
        <f>'2015'!E14</f>
        <v>10000</v>
      </c>
      <c r="K28" s="48"/>
      <c r="L28" s="47"/>
      <c r="M28" s="48"/>
      <c r="N28" s="47"/>
      <c r="O28" s="48"/>
      <c r="P28" s="47">
        <f>'2015'!H14</f>
        <v>40000</v>
      </c>
      <c r="Q28" s="48"/>
      <c r="R28" s="47"/>
      <c r="S28" s="48"/>
      <c r="T28" s="47"/>
      <c r="U28" s="48"/>
      <c r="V28" s="47">
        <f>'2015'!K14</f>
        <v>10000</v>
      </c>
      <c r="W28" s="48"/>
      <c r="X28" s="47"/>
      <c r="Y28" s="48"/>
      <c r="Z28" s="47"/>
    </row>
    <row r="29" spans="2:26" s="41" customFormat="1" ht="4.5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11.25" customHeight="1">
      <c r="A30" s="42"/>
      <c r="B30" s="43" t="s">
        <v>141</v>
      </c>
      <c r="C30" s="48"/>
      <c r="D30" s="47">
        <v>12000</v>
      </c>
      <c r="E30" s="48"/>
      <c r="F30" s="47">
        <v>12000</v>
      </c>
      <c r="G30" s="48"/>
      <c r="H30" s="47">
        <v>12000</v>
      </c>
      <c r="I30" s="48"/>
      <c r="J30" s="47">
        <f>'2015'!E29</f>
        <v>12000</v>
      </c>
      <c r="K30" s="48"/>
      <c r="L30" s="47">
        <f>'2015'!F29</f>
        <v>12000</v>
      </c>
      <c r="M30" s="48"/>
      <c r="N30" s="47">
        <f>'2015'!G29</f>
        <v>12000</v>
      </c>
      <c r="O30" s="48"/>
      <c r="P30" s="47">
        <f>'2015'!H29</f>
        <v>12000</v>
      </c>
      <c r="Q30" s="48"/>
      <c r="R30" s="47">
        <f>'2015'!I29</f>
        <v>12000</v>
      </c>
      <c r="S30" s="48"/>
      <c r="T30" s="47">
        <f>'2015'!J29</f>
        <v>12000</v>
      </c>
      <c r="U30" s="48"/>
      <c r="V30" s="47">
        <f>'2015'!K29</f>
        <v>12000</v>
      </c>
      <c r="W30" s="48"/>
      <c r="X30" s="47">
        <f>'2015'!L29</f>
        <v>12000</v>
      </c>
      <c r="Y30" s="48"/>
      <c r="Z30" s="47">
        <f>'2015'!M29</f>
        <v>12000</v>
      </c>
    </row>
    <row r="31" spans="2:26" s="41" customFormat="1" ht="4.5" customHeight="1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11.25" customHeight="1">
      <c r="A32" s="42"/>
      <c r="B32" s="43" t="s">
        <v>12</v>
      </c>
      <c r="C32" s="48"/>
      <c r="D32" s="47">
        <f>'2015'!B16</f>
        <v>900874</v>
      </c>
      <c r="E32" s="48"/>
      <c r="F32" s="47"/>
      <c r="G32" s="48"/>
      <c r="H32" s="47"/>
      <c r="I32" s="48"/>
      <c r="J32" s="47">
        <f>'2015'!E16</f>
        <v>810787</v>
      </c>
      <c r="K32" s="48"/>
      <c r="L32" s="47"/>
      <c r="M32" s="48"/>
      <c r="N32" s="47"/>
      <c r="O32" s="48"/>
      <c r="P32" s="47">
        <f>'2015'!H16</f>
        <v>729708</v>
      </c>
      <c r="Q32" s="48"/>
      <c r="R32" s="47"/>
      <c r="S32" s="48"/>
      <c r="T32" s="47"/>
      <c r="U32" s="48"/>
      <c r="V32" s="47">
        <f>'2015'!K16</f>
        <v>656737</v>
      </c>
      <c r="W32" s="48"/>
      <c r="X32" s="47"/>
      <c r="Y32" s="48"/>
      <c r="Z32" s="47"/>
    </row>
    <row r="33" spans="2:26" s="41" customFormat="1" ht="4.5" customHeight="1">
      <c r="B33" s="43"/>
      <c r="C33" s="114"/>
      <c r="D33" s="47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2:26" s="53" customFormat="1" ht="11.25" customHeight="1">
      <c r="B34" s="43" t="s">
        <v>15</v>
      </c>
      <c r="C34" s="114"/>
      <c r="D34" s="47"/>
      <c r="E34" s="114"/>
      <c r="F34" s="115"/>
      <c r="G34" s="114"/>
      <c r="H34" s="115"/>
      <c r="I34" s="114"/>
      <c r="J34" s="115">
        <v>500000</v>
      </c>
      <c r="K34" s="114"/>
      <c r="L34" s="115">
        <v>500000</v>
      </c>
      <c r="M34" s="114"/>
      <c r="N34" s="115">
        <v>500000</v>
      </c>
      <c r="O34" s="114"/>
      <c r="P34" s="115">
        <v>500000</v>
      </c>
      <c r="Q34" s="114"/>
      <c r="R34" s="115">
        <v>500000</v>
      </c>
      <c r="S34" s="114"/>
      <c r="T34" s="115">
        <v>500000</v>
      </c>
      <c r="U34" s="114"/>
      <c r="V34" s="115">
        <v>500000</v>
      </c>
      <c r="W34" s="114"/>
      <c r="X34" s="115">
        <v>500000</v>
      </c>
      <c r="Y34" s="114"/>
      <c r="Z34" s="115">
        <v>500000</v>
      </c>
    </row>
    <row r="35" spans="2:26" s="41" customFormat="1" ht="5.25" customHeight="1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11.25" customHeight="1" hidden="1">
      <c r="A36" s="42"/>
      <c r="B36" s="43" t="s">
        <v>148</v>
      </c>
      <c r="C36" s="54"/>
      <c r="D36" s="47">
        <f>'2015'!B30</f>
        <v>0</v>
      </c>
      <c r="E36" s="54"/>
      <c r="F36" s="47"/>
      <c r="G36" s="54"/>
      <c r="H36" s="47"/>
      <c r="I36" s="54"/>
      <c r="J36" s="47"/>
      <c r="K36" s="54"/>
      <c r="L36" s="47"/>
      <c r="M36" s="54"/>
      <c r="N36" s="47"/>
      <c r="O36" s="54"/>
      <c r="P36" s="47"/>
      <c r="Q36" s="54"/>
      <c r="R36" s="47"/>
      <c r="S36" s="54"/>
      <c r="T36" s="47"/>
      <c r="U36" s="54"/>
      <c r="V36" s="47"/>
      <c r="W36" s="54"/>
      <c r="X36" s="47"/>
      <c r="Y36" s="54"/>
      <c r="Z36" s="47"/>
    </row>
    <row r="37" spans="2:26" s="41" customFormat="1" ht="4.5" customHeight="1" hidden="1"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11.25" customHeight="1" hidden="1">
      <c r="A38" s="42"/>
      <c r="B38" s="43" t="s">
        <v>129</v>
      </c>
      <c r="C38" s="48"/>
      <c r="D38" s="54"/>
      <c r="E38" s="48"/>
      <c r="F38" s="54"/>
      <c r="G38" s="48"/>
      <c r="H38" s="54"/>
      <c r="I38" s="48"/>
      <c r="J38" s="54"/>
      <c r="K38" s="48"/>
      <c r="L38" s="54"/>
      <c r="M38" s="48"/>
      <c r="N38" s="54"/>
      <c r="O38" s="48"/>
      <c r="P38" s="54"/>
      <c r="Q38" s="48"/>
      <c r="R38" s="54"/>
      <c r="S38" s="48"/>
      <c r="T38" s="54"/>
      <c r="U38" s="48"/>
      <c r="V38" s="54"/>
      <c r="W38" s="48"/>
      <c r="X38" s="54"/>
      <c r="Y38" s="48"/>
      <c r="Z38" s="54"/>
    </row>
    <row r="39" spans="2:26" s="41" customFormat="1" ht="4.5" customHeight="1" hidden="1"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14.25" customHeight="1" hidden="1">
      <c r="A40" s="42"/>
      <c r="B40" s="43" t="s">
        <v>130</v>
      </c>
      <c r="C40" s="48"/>
      <c r="D40" s="47"/>
      <c r="E40" s="48"/>
      <c r="F40" s="47"/>
      <c r="G40" s="48"/>
      <c r="H40" s="47"/>
      <c r="I40" s="48"/>
      <c r="J40" s="47"/>
      <c r="K40" s="48"/>
      <c r="L40" s="47"/>
      <c r="M40" s="48"/>
      <c r="N40" s="47"/>
      <c r="O40" s="48"/>
      <c r="P40" s="47"/>
      <c r="Q40" s="48"/>
      <c r="R40" s="47"/>
      <c r="S40" s="48"/>
      <c r="T40" s="47"/>
      <c r="U40" s="48"/>
      <c r="V40" s="47"/>
      <c r="W40" s="48"/>
      <c r="X40" s="47"/>
      <c r="Y40" s="48"/>
      <c r="Z40" s="47"/>
    </row>
    <row r="41" spans="2:26" s="41" customFormat="1" ht="4.5" customHeight="1" hidden="1"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11.25" customHeight="1">
      <c r="A42" s="42"/>
      <c r="B42" s="43" t="s">
        <v>131</v>
      </c>
      <c r="C42" s="48"/>
      <c r="D42" s="47">
        <f>'2015'!B10</f>
        <v>229999.99999999997</v>
      </c>
      <c r="E42" s="48"/>
      <c r="F42" s="47">
        <f>'2015'!C10</f>
        <v>229999.99999999997</v>
      </c>
      <c r="G42" s="48"/>
      <c r="H42" s="47">
        <f>'2015'!D10</f>
        <v>229999.99999999997</v>
      </c>
      <c r="I42" s="48"/>
      <c r="J42" s="47">
        <f>'2015'!F10</f>
        <v>229999.99999999997</v>
      </c>
      <c r="K42" s="48"/>
      <c r="L42" s="47">
        <f>'2015'!F10</f>
        <v>229999.99999999997</v>
      </c>
      <c r="M42" s="48"/>
      <c r="N42" s="47">
        <f>'2015'!G10</f>
        <v>229999.99999999997</v>
      </c>
      <c r="O42" s="48"/>
      <c r="P42" s="47">
        <f>'2015'!H10</f>
        <v>229999.99999999997</v>
      </c>
      <c r="Q42" s="48"/>
      <c r="R42" s="47">
        <f>'2015'!I10</f>
        <v>229999.99999999997</v>
      </c>
      <c r="S42" s="48"/>
      <c r="T42" s="47">
        <f>'2015'!J10</f>
        <v>229999.99999999997</v>
      </c>
      <c r="U42" s="48"/>
      <c r="V42" s="47">
        <f>'2015'!K10</f>
        <v>229999.99999999997</v>
      </c>
      <c r="W42" s="48"/>
      <c r="X42" s="47">
        <f>'2015'!L10</f>
        <v>229999.99999999997</v>
      </c>
      <c r="Y42" s="48"/>
      <c r="Z42" s="47">
        <f>'2015'!M10</f>
        <v>229999.99999999997</v>
      </c>
    </row>
    <row r="43" spans="2:26" s="41" customFormat="1" ht="4.5" customHeight="1"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11.25" customHeight="1">
      <c r="A44" s="42"/>
      <c r="B44" s="43" t="s">
        <v>138</v>
      </c>
      <c r="C44" s="48"/>
      <c r="D44" s="47">
        <f>'2015'!B22</f>
        <v>44000</v>
      </c>
      <c r="E44" s="48"/>
      <c r="F44" s="47">
        <f>'2015'!C22</f>
        <v>44000</v>
      </c>
      <c r="G44" s="48"/>
      <c r="H44" s="47">
        <f>'2015'!D22</f>
        <v>44000</v>
      </c>
      <c r="I44" s="48"/>
      <c r="J44" s="47">
        <f>'2015'!E22</f>
        <v>44000</v>
      </c>
      <c r="K44" s="48"/>
      <c r="L44" s="47">
        <f>'2015'!F22</f>
        <v>44000</v>
      </c>
      <c r="M44" s="48"/>
      <c r="N44" s="47">
        <f>'2015'!G22</f>
        <v>44000</v>
      </c>
      <c r="O44" s="48"/>
      <c r="P44" s="47">
        <f>'2015'!H22</f>
        <v>44000</v>
      </c>
      <c r="Q44" s="48"/>
      <c r="R44" s="47">
        <f>'2015'!I22</f>
        <v>44000</v>
      </c>
      <c r="S44" s="48"/>
      <c r="T44" s="47">
        <f>'2015'!J22</f>
        <v>44000</v>
      </c>
      <c r="U44" s="48"/>
      <c r="V44" s="47">
        <f>'2015'!K22</f>
        <v>44000</v>
      </c>
      <c r="W44" s="48"/>
      <c r="X44" s="47">
        <f>'2015'!L22</f>
        <v>44000</v>
      </c>
      <c r="Y44" s="48"/>
      <c r="Z44" s="47">
        <f>'2015'!M22</f>
        <v>44000</v>
      </c>
    </row>
    <row r="45" spans="2:26" s="41" customFormat="1" ht="4.5" customHeight="1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11.25" customHeight="1">
      <c r="A46" s="42"/>
      <c r="B46" s="43" t="s">
        <v>140</v>
      </c>
      <c r="C46" s="48"/>
      <c r="D46" s="47">
        <f>'2015'!B11+'2015'!B30+'2015'!B31</f>
        <v>538464</v>
      </c>
      <c r="E46" s="48"/>
      <c r="F46" s="47">
        <f>'2015'!C11+'2015'!C30+'2015'!C31</f>
        <v>538464</v>
      </c>
      <c r="G46" s="48"/>
      <c r="H46" s="47">
        <f>'2015'!D11+'2015'!D30+'2015'!D31</f>
        <v>538464</v>
      </c>
      <c r="I46" s="48"/>
      <c r="J46" s="47">
        <f>'2015'!E11+'2015'!E30+'2015'!E31</f>
        <v>538464</v>
      </c>
      <c r="K46" s="48"/>
      <c r="L46" s="47">
        <f>'2015'!F11+'2015'!F30+'2015'!F31</f>
        <v>538464</v>
      </c>
      <c r="M46" s="48"/>
      <c r="N46" s="47">
        <f>'2015'!G11+'2015'!G30+'2015'!G31</f>
        <v>1070688</v>
      </c>
      <c r="O46" s="48"/>
      <c r="P46" s="47">
        <f>'2015'!H11+'2015'!H30+'2015'!H31</f>
        <v>1070688</v>
      </c>
      <c r="Q46" s="48"/>
      <c r="R46" s="47">
        <f>'2015'!I11+'2015'!I30+'2015'!I31</f>
        <v>1070688</v>
      </c>
      <c r="S46" s="48"/>
      <c r="T46" s="47">
        <f>'2015'!J11+'2015'!J30+'2015'!J31</f>
        <v>1070688</v>
      </c>
      <c r="U46" s="48"/>
      <c r="V46" s="47">
        <f>'2015'!K11+'2015'!K30+'2015'!K31</f>
        <v>1070688</v>
      </c>
      <c r="W46" s="48"/>
      <c r="X46" s="47">
        <f>'2015'!L11+'2015'!L30+'2015'!L31</f>
        <v>1070688</v>
      </c>
      <c r="Y46" s="48"/>
      <c r="Z46" s="47">
        <f>'2015'!M11+'2015'!M30+'2015'!M31</f>
        <v>1070688</v>
      </c>
    </row>
    <row r="47" spans="2:26" s="41" customFormat="1" ht="4.5" customHeight="1"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1.25" customHeight="1">
      <c r="A48" s="42"/>
      <c r="B48" s="43" t="s">
        <v>151</v>
      </c>
      <c r="C48" s="48"/>
      <c r="D48" s="47"/>
      <c r="E48" s="48"/>
      <c r="F48" s="47"/>
      <c r="G48" s="48"/>
      <c r="H48" s="47"/>
      <c r="I48" s="48"/>
      <c r="J48" s="47"/>
      <c r="K48" s="48"/>
      <c r="L48" s="47">
        <v>200000</v>
      </c>
      <c r="M48" s="48"/>
      <c r="N48" s="47"/>
      <c r="O48" s="48"/>
      <c r="P48" s="47"/>
      <c r="Q48" s="48"/>
      <c r="R48" s="47"/>
      <c r="S48" s="48"/>
      <c r="T48" s="47"/>
      <c r="U48" s="48"/>
      <c r="V48" s="47"/>
      <c r="W48" s="48"/>
      <c r="X48" s="47"/>
      <c r="Y48" s="48"/>
      <c r="Z48" s="47"/>
    </row>
    <row r="49" spans="2:26" s="41" customFormat="1" ht="4.5" customHeight="1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11.25" customHeight="1">
      <c r="A50" s="42"/>
      <c r="B50" s="43" t="s">
        <v>167</v>
      </c>
      <c r="C50" s="48"/>
      <c r="D50" s="47"/>
      <c r="E50" s="48"/>
      <c r="F50" s="47"/>
      <c r="G50" s="48"/>
      <c r="H50" s="47"/>
      <c r="I50" s="48"/>
      <c r="J50" s="47"/>
      <c r="K50" s="48"/>
      <c r="L50" s="47"/>
      <c r="M50" s="48"/>
      <c r="N50" s="47"/>
      <c r="O50" s="48"/>
      <c r="P50" s="47">
        <f>'2015'!G24</f>
        <v>200000</v>
      </c>
      <c r="Q50" s="48"/>
      <c r="R50" s="47"/>
      <c r="S50" s="48"/>
      <c r="T50" s="47"/>
      <c r="U50" s="48"/>
      <c r="V50" s="47"/>
      <c r="W50" s="48"/>
      <c r="X50" s="47"/>
      <c r="Y50" s="48"/>
      <c r="Z50" s="47"/>
    </row>
    <row r="51" spans="2:26" s="41" customFormat="1" ht="4.5" customHeight="1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11.25" customHeight="1">
      <c r="A52" s="42"/>
      <c r="B52" s="43" t="s">
        <v>168</v>
      </c>
      <c r="C52" s="48"/>
      <c r="D52" s="47"/>
      <c r="E52" s="48"/>
      <c r="F52" s="47"/>
      <c r="G52" s="48"/>
      <c r="H52" s="47">
        <v>2702338</v>
      </c>
      <c r="I52" s="48"/>
      <c r="J52" s="47"/>
      <c r="K52" s="48"/>
      <c r="L52" s="47"/>
      <c r="M52" s="48"/>
      <c r="N52" s="47"/>
      <c r="O52" s="48"/>
      <c r="P52" s="47">
        <v>3915224</v>
      </c>
      <c r="Q52" s="48"/>
      <c r="R52" s="47"/>
      <c r="S52" s="48"/>
      <c r="T52" s="47"/>
      <c r="U52" s="48"/>
      <c r="V52" s="47">
        <v>3184127</v>
      </c>
      <c r="W52" s="48"/>
      <c r="X52" s="47"/>
      <c r="Y52" s="48"/>
      <c r="Z52" s="47"/>
    </row>
    <row r="53" spans="2:26" s="41" customFormat="1" ht="4.5" customHeight="1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11.25" customHeight="1">
      <c r="A54" s="42"/>
      <c r="B54" s="43" t="s">
        <v>133</v>
      </c>
      <c r="C54" s="48"/>
      <c r="D54" s="47">
        <f>'2015'!B12+'2015'!B15</f>
        <v>9500</v>
      </c>
      <c r="E54" s="48"/>
      <c r="F54" s="47">
        <f>'2015'!C12+'2015'!C15</f>
        <v>9500</v>
      </c>
      <c r="G54" s="48"/>
      <c r="H54" s="47">
        <f>'2015'!D12+'2015'!D15</f>
        <v>9500</v>
      </c>
      <c r="I54" s="48"/>
      <c r="J54" s="47">
        <f>'2015'!E12+'2015'!E15</f>
        <v>9500</v>
      </c>
      <c r="K54" s="48"/>
      <c r="L54" s="47">
        <f>'2015'!F12+'2015'!F15</f>
        <v>9500</v>
      </c>
      <c r="M54" s="48"/>
      <c r="N54" s="47">
        <f>'2015'!G12+'2015'!G15</f>
        <v>9500</v>
      </c>
      <c r="O54" s="48"/>
      <c r="P54" s="47">
        <f>'2015'!H12+'2015'!H15</f>
        <v>9500</v>
      </c>
      <c r="Q54" s="48"/>
      <c r="R54" s="47">
        <f>'2015'!I12+'2015'!I15</f>
        <v>9500</v>
      </c>
      <c r="S54" s="48"/>
      <c r="T54" s="47">
        <f>'2015'!J12+'2015'!J15</f>
        <v>9500</v>
      </c>
      <c r="U54" s="48"/>
      <c r="V54" s="47">
        <f>'2015'!K12+'2015'!K15</f>
        <v>9500</v>
      </c>
      <c r="W54" s="48"/>
      <c r="X54" s="47">
        <f>'2015'!L12+'2015'!L15</f>
        <v>9500</v>
      </c>
      <c r="Y54" s="48"/>
      <c r="Z54" s="47">
        <f>+'2015'!M12+'2015'!M15</f>
        <v>9500</v>
      </c>
    </row>
    <row r="55" spans="2:26" s="41" customFormat="1" ht="4.5" customHeight="1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11.25" customHeight="1">
      <c r="A56" s="42"/>
      <c r="B56" s="43" t="s">
        <v>134</v>
      </c>
      <c r="C56" s="48"/>
      <c r="D56" s="47"/>
      <c r="E56" s="48"/>
      <c r="F56" s="47">
        <f>'2015'!C21</f>
        <v>25000</v>
      </c>
      <c r="G56" s="48"/>
      <c r="H56" s="47"/>
      <c r="I56" s="48"/>
      <c r="J56" s="47"/>
      <c r="K56" s="48"/>
      <c r="L56" s="47"/>
      <c r="M56" s="48"/>
      <c r="N56" s="47"/>
      <c r="O56" s="48"/>
      <c r="P56" s="47"/>
      <c r="Q56" s="48"/>
      <c r="R56" s="47"/>
      <c r="S56" s="48"/>
      <c r="T56" s="47">
        <f>'2015'!J21</f>
        <v>25000</v>
      </c>
      <c r="U56" s="48"/>
      <c r="V56" s="47"/>
      <c r="W56" s="48"/>
      <c r="X56" s="47"/>
      <c r="Y56" s="48"/>
      <c r="Z56" s="47"/>
    </row>
    <row r="57" spans="2:26" s="41" customFormat="1" ht="4.5" customHeight="1"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1.25" customHeight="1">
      <c r="A58" s="42"/>
      <c r="B58" s="43" t="s">
        <v>135</v>
      </c>
      <c r="C58" s="48"/>
      <c r="D58" s="47">
        <f>'2015'!B7</f>
        <v>160000</v>
      </c>
      <c r="E58" s="48"/>
      <c r="F58" s="47">
        <f>'2015'!C7</f>
        <v>160000</v>
      </c>
      <c r="G58" s="48"/>
      <c r="H58" s="47">
        <f>'2015'!D7</f>
        <v>160000</v>
      </c>
      <c r="I58" s="48"/>
      <c r="J58" s="47">
        <f>'2015'!E7</f>
        <v>160000</v>
      </c>
      <c r="K58" s="48"/>
      <c r="L58" s="47">
        <f>'2015'!F7</f>
        <v>170000</v>
      </c>
      <c r="M58" s="48"/>
      <c r="N58" s="47">
        <f>'2015'!G7</f>
        <v>170000</v>
      </c>
      <c r="O58" s="48"/>
      <c r="P58" s="47">
        <f>'2015'!H7</f>
        <v>170000</v>
      </c>
      <c r="Q58" s="48"/>
      <c r="R58" s="47">
        <f>'2015'!I7</f>
        <v>170000</v>
      </c>
      <c r="S58" s="48"/>
      <c r="T58" s="47">
        <f>'2015'!J7</f>
        <v>170000</v>
      </c>
      <c r="U58" s="48"/>
      <c r="V58" s="47">
        <f>'2015'!K7</f>
        <v>170000</v>
      </c>
      <c r="W58" s="48"/>
      <c r="X58" s="47">
        <f>'2015'!L7</f>
        <v>170000</v>
      </c>
      <c r="Y58" s="48"/>
      <c r="Z58" s="47">
        <f>'2015'!M7</f>
        <v>170000</v>
      </c>
    </row>
    <row r="59" spans="2:26" s="41" customFormat="1" ht="4.5" customHeight="1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1.25" customHeight="1">
      <c r="A60" s="42"/>
      <c r="B60" s="43" t="s">
        <v>136</v>
      </c>
      <c r="C60" s="47">
        <f>SUM(C12:C58)</f>
        <v>5813814.68352</v>
      </c>
      <c r="D60" s="47">
        <f>SUM(D12:D58)</f>
        <v>2480391.5</v>
      </c>
      <c r="E60" s="47">
        <f aca="true" t="shared" si="0" ref="E60:Z60">SUM(E12:E58)</f>
        <v>925695</v>
      </c>
      <c r="F60" s="47">
        <f t="shared" si="0"/>
        <v>2948794.1999999997</v>
      </c>
      <c r="G60" s="47">
        <f t="shared" si="0"/>
        <v>1851525</v>
      </c>
      <c r="H60" s="47">
        <f t="shared" si="0"/>
        <v>5921026.2</v>
      </c>
      <c r="I60" s="47">
        <f t="shared" si="0"/>
        <v>30087180</v>
      </c>
      <c r="J60" s="47">
        <f t="shared" si="0"/>
        <v>9354279.2</v>
      </c>
      <c r="K60" s="47">
        <f t="shared" si="0"/>
        <v>30087180</v>
      </c>
      <c r="L60" s="47">
        <f t="shared" si="0"/>
        <v>8743492.2</v>
      </c>
      <c r="M60" s="47">
        <f t="shared" si="0"/>
        <v>15274980</v>
      </c>
      <c r="N60" s="47">
        <f t="shared" si="0"/>
        <v>10625918.7</v>
      </c>
      <c r="O60" s="47">
        <f t="shared" si="0"/>
        <v>15274980</v>
      </c>
      <c r="P60" s="47">
        <f t="shared" si="0"/>
        <v>15510850.7</v>
      </c>
      <c r="Q60" s="47">
        <f t="shared" si="0"/>
        <v>15274980</v>
      </c>
      <c r="R60" s="47">
        <f t="shared" si="0"/>
        <v>10625918.7</v>
      </c>
      <c r="S60" s="47">
        <f t="shared" si="0"/>
        <v>15274980</v>
      </c>
      <c r="T60" s="47">
        <f t="shared" si="0"/>
        <v>15357893.100000001</v>
      </c>
      <c r="U60" s="47">
        <f t="shared" si="0"/>
        <v>30087180</v>
      </c>
      <c r="V60" s="47">
        <f t="shared" si="0"/>
        <v>17105355.2</v>
      </c>
      <c r="W60" s="47">
        <f t="shared" si="0"/>
        <v>15043590</v>
      </c>
      <c r="X60" s="47">
        <f t="shared" si="0"/>
        <v>13254491.2</v>
      </c>
      <c r="Y60" s="47">
        <f t="shared" si="0"/>
        <v>15043590</v>
      </c>
      <c r="Z60" s="47">
        <f t="shared" si="0"/>
        <v>3966018.2</v>
      </c>
    </row>
  </sheetData>
  <sheetProtection/>
  <mergeCells count="13">
    <mergeCell ref="Y8:Z8"/>
    <mergeCell ref="M8:N8"/>
    <mergeCell ref="O8:P8"/>
    <mergeCell ref="Q8:R8"/>
    <mergeCell ref="S8:T8"/>
    <mergeCell ref="U8:V8"/>
    <mergeCell ref="W8:X8"/>
    <mergeCell ref="B5:D5"/>
    <mergeCell ref="C8:D8"/>
    <mergeCell ref="E8:F8"/>
    <mergeCell ref="G8:H8"/>
    <mergeCell ref="I8:J8"/>
    <mergeCell ref="K8:L8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0"/>
  <sheetViews>
    <sheetView view="pageBreakPreview" zoomScaleSheetLayoutView="100" zoomScalePageLayoutView="0" workbookViewId="0" topLeftCell="A9">
      <selection activeCell="Z35" sqref="Z35"/>
    </sheetView>
  </sheetViews>
  <sheetFormatPr defaultColWidth="9.140625" defaultRowHeight="15"/>
  <cols>
    <col min="1" max="1" width="2.00390625" style="41" customWidth="1"/>
    <col min="2" max="2" width="42.8515625" style="109" customWidth="1"/>
    <col min="3" max="9" width="12.421875" style="109" customWidth="1"/>
    <col min="10" max="10" width="12.421875" style="113" customWidth="1"/>
    <col min="11" max="11" width="12.421875" style="109" customWidth="1"/>
    <col min="12" max="12" width="12.421875" style="113" customWidth="1"/>
    <col min="13" max="13" width="12.421875" style="109" customWidth="1"/>
    <col min="14" max="14" width="12.421875" style="113" customWidth="1"/>
    <col min="15" max="15" width="12.421875" style="109" customWidth="1"/>
    <col min="16" max="16" width="12.421875" style="113" customWidth="1"/>
    <col min="17" max="17" width="12.421875" style="109" customWidth="1"/>
    <col min="18" max="18" width="12.421875" style="113" customWidth="1"/>
    <col min="19" max="19" width="12.421875" style="109" customWidth="1"/>
    <col min="20" max="20" width="12.421875" style="113" customWidth="1"/>
    <col min="21" max="21" width="12.421875" style="109" customWidth="1"/>
    <col min="22" max="22" width="12.421875" style="113" customWidth="1"/>
    <col min="23" max="23" width="12.421875" style="109" customWidth="1"/>
    <col min="24" max="24" width="12.421875" style="113" customWidth="1"/>
    <col min="25" max="25" width="12.421875" style="109" customWidth="1"/>
    <col min="26" max="26" width="12.421875" style="113" customWidth="1"/>
    <col min="27" max="30" width="12.421875" style="42" customWidth="1"/>
    <col min="31" max="16384" width="9.140625" style="42" customWidth="1"/>
  </cols>
  <sheetData>
    <row r="1" spans="2:26" s="41" customFormat="1" ht="15.75" customHeight="1" hidden="1">
      <c r="B1" s="116" t="s">
        <v>119</v>
      </c>
      <c r="C1" s="109"/>
      <c r="D1" s="109"/>
      <c r="E1" s="109"/>
      <c r="F1" s="109"/>
      <c r="G1" s="109"/>
      <c r="H1" s="109"/>
      <c r="I1" s="109"/>
      <c r="J1" s="110"/>
      <c r="K1" s="109"/>
      <c r="L1" s="110"/>
      <c r="M1" s="109"/>
      <c r="N1" s="110"/>
      <c r="O1" s="109"/>
      <c r="P1" s="110"/>
      <c r="Q1" s="109"/>
      <c r="R1" s="110"/>
      <c r="S1" s="109"/>
      <c r="T1" s="110"/>
      <c r="U1" s="109"/>
      <c r="V1" s="110"/>
      <c r="W1" s="109"/>
      <c r="X1" s="110"/>
      <c r="Y1" s="109"/>
      <c r="Z1" s="110"/>
    </row>
    <row r="2" spans="2:26" s="41" customFormat="1" ht="11.25" customHeight="1" hidden="1">
      <c r="B2" s="117" t="s">
        <v>120</v>
      </c>
      <c r="C2" s="109"/>
      <c r="D2" s="109"/>
      <c r="E2" s="109"/>
      <c r="F2" s="109"/>
      <c r="G2" s="109"/>
      <c r="H2" s="109"/>
      <c r="I2" s="109"/>
      <c r="J2" s="110"/>
      <c r="K2" s="109"/>
      <c r="L2" s="110"/>
      <c r="M2" s="109"/>
      <c r="N2" s="110"/>
      <c r="O2" s="109"/>
      <c r="P2" s="110"/>
      <c r="Q2" s="109"/>
      <c r="R2" s="110"/>
      <c r="S2" s="109"/>
      <c r="T2" s="110"/>
      <c r="U2" s="109"/>
      <c r="V2" s="110"/>
      <c r="W2" s="109"/>
      <c r="X2" s="110"/>
      <c r="Y2" s="109"/>
      <c r="Z2" s="110"/>
    </row>
    <row r="3" spans="2:26" s="41" customFormat="1" ht="11.25" customHeight="1" hidden="1">
      <c r="B3" s="117" t="s">
        <v>121</v>
      </c>
      <c r="C3" s="109"/>
      <c r="D3" s="109"/>
      <c r="E3" s="109"/>
      <c r="F3" s="109"/>
      <c r="G3" s="109"/>
      <c r="H3" s="109"/>
      <c r="I3" s="109"/>
      <c r="J3" s="110"/>
      <c r="K3" s="109"/>
      <c r="L3" s="110"/>
      <c r="M3" s="109"/>
      <c r="N3" s="110"/>
      <c r="O3" s="109"/>
      <c r="P3" s="110"/>
      <c r="Q3" s="109"/>
      <c r="R3" s="110"/>
      <c r="S3" s="109"/>
      <c r="T3" s="110"/>
      <c r="U3" s="109"/>
      <c r="V3" s="110"/>
      <c r="W3" s="109"/>
      <c r="X3" s="110"/>
      <c r="Y3" s="109"/>
      <c r="Z3" s="110"/>
    </row>
    <row r="4" spans="2:26" s="41" customFormat="1" ht="11.25" customHeight="1" hidden="1">
      <c r="B4" s="117" t="s">
        <v>122</v>
      </c>
      <c r="C4" s="109"/>
      <c r="D4" s="109"/>
      <c r="E4" s="109"/>
      <c r="F4" s="109"/>
      <c r="G4" s="109"/>
      <c r="H4" s="109"/>
      <c r="I4" s="109"/>
      <c r="J4" s="110"/>
      <c r="K4" s="109"/>
      <c r="L4" s="110"/>
      <c r="M4" s="109"/>
      <c r="N4" s="110"/>
      <c r="O4" s="109"/>
      <c r="P4" s="110"/>
      <c r="Q4" s="109"/>
      <c r="R4" s="110"/>
      <c r="S4" s="109"/>
      <c r="T4" s="110"/>
      <c r="U4" s="109"/>
      <c r="V4" s="110"/>
      <c r="W4" s="109"/>
      <c r="X4" s="110"/>
      <c r="Y4" s="109"/>
      <c r="Z4" s="110"/>
    </row>
    <row r="5" spans="2:26" s="41" customFormat="1" ht="22.5" customHeight="1" hidden="1">
      <c r="B5" s="118" t="s">
        <v>123</v>
      </c>
      <c r="C5" s="118"/>
      <c r="D5" s="118"/>
      <c r="E5" s="111"/>
      <c r="F5" s="111"/>
      <c r="G5" s="111"/>
      <c r="H5" s="111"/>
      <c r="I5" s="111"/>
      <c r="J5" s="110"/>
      <c r="K5" s="111"/>
      <c r="L5" s="110"/>
      <c r="M5" s="111"/>
      <c r="N5" s="110"/>
      <c r="O5" s="111"/>
      <c r="P5" s="110"/>
      <c r="Q5" s="111"/>
      <c r="R5" s="110"/>
      <c r="S5" s="111"/>
      <c r="T5" s="110"/>
      <c r="U5" s="111"/>
      <c r="V5" s="110"/>
      <c r="W5" s="111"/>
      <c r="X5" s="110"/>
      <c r="Y5" s="111"/>
      <c r="Z5" s="110"/>
    </row>
    <row r="6" spans="1:25" ht="12.75" hidden="1">
      <c r="A6" s="42"/>
      <c r="B6" s="112"/>
      <c r="C6" s="112"/>
      <c r="D6" s="112"/>
      <c r="E6" s="112"/>
      <c r="F6" s="112"/>
      <c r="G6" s="112"/>
      <c r="H6" s="112"/>
      <c r="I6" s="112"/>
      <c r="K6" s="112"/>
      <c r="M6" s="112"/>
      <c r="O6" s="112"/>
      <c r="Q6" s="112"/>
      <c r="S6" s="112"/>
      <c r="U6" s="112"/>
      <c r="W6" s="112"/>
      <c r="Y6" s="112"/>
    </row>
    <row r="7" spans="1:25" ht="12.75">
      <c r="A7" s="42"/>
      <c r="B7" s="141">
        <v>2016</v>
      </c>
      <c r="C7" s="112"/>
      <c r="D7" s="112"/>
      <c r="E7" s="112"/>
      <c r="F7" s="112"/>
      <c r="G7" s="112"/>
      <c r="H7" s="112"/>
      <c r="I7" s="112"/>
      <c r="K7" s="112"/>
      <c r="M7" s="112"/>
      <c r="O7" s="112"/>
      <c r="Q7" s="112"/>
      <c r="S7" s="112"/>
      <c r="U7" s="112"/>
      <c r="W7" s="112"/>
      <c r="Y7" s="112"/>
    </row>
    <row r="8" spans="1:26" ht="11.25" customHeight="1">
      <c r="A8" s="42"/>
      <c r="B8" s="43" t="s">
        <v>124</v>
      </c>
      <c r="C8" s="119" t="s">
        <v>152</v>
      </c>
      <c r="D8" s="120"/>
      <c r="E8" s="119" t="s">
        <v>153</v>
      </c>
      <c r="F8" s="120"/>
      <c r="G8" s="119" t="s">
        <v>154</v>
      </c>
      <c r="H8" s="120"/>
      <c r="I8" s="119" t="s">
        <v>155</v>
      </c>
      <c r="J8" s="120"/>
      <c r="K8" s="119" t="s">
        <v>156</v>
      </c>
      <c r="L8" s="120"/>
      <c r="M8" s="119" t="s">
        <v>157</v>
      </c>
      <c r="N8" s="120"/>
      <c r="O8" s="119" t="s">
        <v>158</v>
      </c>
      <c r="P8" s="120"/>
      <c r="Q8" s="119" t="s">
        <v>159</v>
      </c>
      <c r="R8" s="120"/>
      <c r="S8" s="119" t="s">
        <v>160</v>
      </c>
      <c r="T8" s="120"/>
      <c r="U8" s="119" t="s">
        <v>161</v>
      </c>
      <c r="V8" s="120"/>
      <c r="W8" s="119" t="s">
        <v>162</v>
      </c>
      <c r="X8" s="120"/>
      <c r="Y8" s="119" t="s">
        <v>163</v>
      </c>
      <c r="Z8" s="120"/>
    </row>
    <row r="9" spans="1:26" ht="11.25" customHeight="1">
      <c r="A9" s="42"/>
      <c r="B9" s="43"/>
      <c r="C9" s="44" t="s">
        <v>125</v>
      </c>
      <c r="D9" s="44" t="s">
        <v>126</v>
      </c>
      <c r="E9" s="44" t="s">
        <v>125</v>
      </c>
      <c r="F9" s="44" t="s">
        <v>126</v>
      </c>
      <c r="G9" s="44" t="s">
        <v>125</v>
      </c>
      <c r="H9" s="44" t="s">
        <v>126</v>
      </c>
      <c r="I9" s="44" t="s">
        <v>125</v>
      </c>
      <c r="J9" s="44" t="s">
        <v>126</v>
      </c>
      <c r="K9" s="44" t="s">
        <v>125</v>
      </c>
      <c r="L9" s="44" t="s">
        <v>126</v>
      </c>
      <c r="M9" s="44" t="s">
        <v>125</v>
      </c>
      <c r="N9" s="44" t="s">
        <v>126</v>
      </c>
      <c r="O9" s="44" t="s">
        <v>125</v>
      </c>
      <c r="P9" s="44" t="s">
        <v>126</v>
      </c>
      <c r="Q9" s="44" t="s">
        <v>125</v>
      </c>
      <c r="R9" s="44" t="s">
        <v>126</v>
      </c>
      <c r="S9" s="44" t="s">
        <v>125</v>
      </c>
      <c r="T9" s="44" t="s">
        <v>126</v>
      </c>
      <c r="U9" s="44" t="s">
        <v>125</v>
      </c>
      <c r="V9" s="44" t="s">
        <v>126</v>
      </c>
      <c r="W9" s="44" t="s">
        <v>125</v>
      </c>
      <c r="X9" s="44" t="s">
        <v>126</v>
      </c>
      <c r="Y9" s="44" t="s">
        <v>125</v>
      </c>
      <c r="Z9" s="44" t="s">
        <v>126</v>
      </c>
    </row>
    <row r="10" spans="1:26" ht="11.25" customHeight="1">
      <c r="A10" s="42"/>
      <c r="B10" s="43" t="s">
        <v>127</v>
      </c>
      <c r="C10" s="45">
        <v>-5374352.01</v>
      </c>
      <c r="D10" s="45"/>
      <c r="E10" s="45">
        <f>C10+C60-D60</f>
        <v>6775862.79</v>
      </c>
      <c r="F10" s="44"/>
      <c r="G10" s="45">
        <f>E10+E60-F60</f>
        <v>3844321.09</v>
      </c>
      <c r="H10" s="44"/>
      <c r="I10" s="45">
        <f>G10+G60-H60</f>
        <v>-3343723.6099999994</v>
      </c>
      <c r="J10" s="44"/>
      <c r="K10" s="45">
        <f>I10+I60-J60</f>
        <v>31697994.44</v>
      </c>
      <c r="L10" s="44"/>
      <c r="M10" s="45">
        <f>K10+K60-L60</f>
        <v>67130775.49</v>
      </c>
      <c r="N10" s="44"/>
      <c r="O10" s="46">
        <f>M10+M60-N60</f>
        <v>75869868.41499999</v>
      </c>
      <c r="P10" s="44"/>
      <c r="Q10" s="46">
        <f>O10+O60-P60</f>
        <v>74116619.33999999</v>
      </c>
      <c r="R10" s="44"/>
      <c r="S10" s="46">
        <f>Q10+Q60-R60</f>
        <v>82855712.26499999</v>
      </c>
      <c r="T10" s="44"/>
      <c r="U10" s="46">
        <f>S10+S60-T60</f>
        <v>85394581.58999999</v>
      </c>
      <c r="V10" s="44"/>
      <c r="W10" s="46">
        <f>U10+U60-V60</f>
        <v>106419065.88999999</v>
      </c>
      <c r="X10" s="44"/>
      <c r="Y10" s="46">
        <f>W10+W60-X60</f>
        <v>110465212.68999998</v>
      </c>
      <c r="Z10" s="44"/>
    </row>
    <row r="11" spans="2:26" s="41" customFormat="1" ht="5.25" customHeight="1"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11.25" customHeight="1">
      <c r="A12" s="42"/>
      <c r="B12" s="43" t="s">
        <v>128</v>
      </c>
      <c r="C12" s="47"/>
      <c r="D12" s="48"/>
      <c r="E12" s="47"/>
      <c r="F12" s="48"/>
      <c r="G12" s="47"/>
      <c r="H12" s="48"/>
      <c r="I12" s="47"/>
      <c r="J12" s="48"/>
      <c r="K12" s="47"/>
      <c r="L12" s="48"/>
      <c r="M12" s="47"/>
      <c r="N12" s="48"/>
      <c r="O12" s="47"/>
      <c r="P12" s="48"/>
      <c r="Q12" s="47"/>
      <c r="R12" s="48"/>
      <c r="S12" s="47"/>
      <c r="T12" s="48"/>
      <c r="U12" s="47"/>
      <c r="V12" s="48"/>
      <c r="W12" s="47"/>
      <c r="X12" s="48"/>
      <c r="Y12" s="47"/>
      <c r="Z12" s="48"/>
    </row>
    <row r="13" spans="2:26" s="41" customFormat="1" ht="4.5" customHeight="1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11.25" customHeight="1">
      <c r="A14" s="42"/>
      <c r="B14" s="43" t="s">
        <v>91</v>
      </c>
      <c r="C14" s="47">
        <f>'2015'!L35*50%+'2015'!M35</f>
        <v>15969285</v>
      </c>
      <c r="D14" s="48"/>
      <c r="E14" s="47">
        <f>'2016'!C35</f>
        <v>1490535</v>
      </c>
      <c r="F14" s="48"/>
      <c r="G14" s="47">
        <f>'2016'!D35</f>
        <v>2980935</v>
      </c>
      <c r="H14" s="48"/>
      <c r="I14" s="47">
        <f>'2016'!E35</f>
        <v>48440295</v>
      </c>
      <c r="J14" s="48"/>
      <c r="K14" s="47">
        <f>'2016'!F35</f>
        <v>48440295</v>
      </c>
      <c r="L14" s="48"/>
      <c r="M14" s="47">
        <f>'2016'!G35</f>
        <v>24592815</v>
      </c>
      <c r="N14" s="48"/>
      <c r="O14" s="47">
        <f>'2016'!H35</f>
        <v>24592815</v>
      </c>
      <c r="P14" s="48"/>
      <c r="Q14" s="47">
        <f>'2016'!I35</f>
        <v>24592815</v>
      </c>
      <c r="R14" s="48"/>
      <c r="S14" s="47">
        <f>'2016'!J35</f>
        <v>24592815</v>
      </c>
      <c r="T14" s="48"/>
      <c r="U14" s="47">
        <f>'2016'!K35</f>
        <v>48440295</v>
      </c>
      <c r="V14" s="48"/>
      <c r="W14" s="47">
        <f>'2016'!L35*50%</f>
        <v>24220147.5</v>
      </c>
      <c r="X14" s="48"/>
      <c r="Y14" s="47">
        <f>'2016'!L35*50%</f>
        <v>24220147.5</v>
      </c>
      <c r="Z14" s="48"/>
    </row>
    <row r="15" spans="2:26" s="41" customFormat="1" ht="4.5" customHeight="1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12.75" customHeight="1">
      <c r="A16" s="42"/>
      <c r="B16" s="43" t="s">
        <v>137</v>
      </c>
      <c r="C16" s="48"/>
      <c r="D16" s="47">
        <f>'2016'!C8</f>
        <v>66246</v>
      </c>
      <c r="E16" s="48"/>
      <c r="F16" s="47">
        <f>'2016'!C8</f>
        <v>66246</v>
      </c>
      <c r="G16" s="48"/>
      <c r="H16" s="47">
        <f>'2016'!D8</f>
        <v>132486</v>
      </c>
      <c r="I16" s="48"/>
      <c r="J16" s="47">
        <f>'2016'!E8</f>
        <v>2152902</v>
      </c>
      <c r="K16" s="48"/>
      <c r="L16" s="47">
        <f>'2016'!F8</f>
        <v>2152902</v>
      </c>
      <c r="M16" s="48"/>
      <c r="N16" s="47">
        <f>'2016'!G8</f>
        <v>1093014</v>
      </c>
      <c r="O16" s="48"/>
      <c r="P16" s="47">
        <f>'2016'!H8</f>
        <v>1093014</v>
      </c>
      <c r="Q16" s="48"/>
      <c r="R16" s="47">
        <f>'2016'!I8</f>
        <v>1093014</v>
      </c>
      <c r="S16" s="48"/>
      <c r="T16" s="47">
        <f>'2016'!J8</f>
        <v>1093014</v>
      </c>
      <c r="U16" s="48"/>
      <c r="V16" s="47">
        <f>'2016'!K8</f>
        <v>2152902</v>
      </c>
      <c r="W16" s="48"/>
      <c r="X16" s="47">
        <f>'2016'!L8</f>
        <v>2152902</v>
      </c>
      <c r="Y16" s="48"/>
      <c r="Z16" s="47">
        <f>'2016'!M8</f>
        <v>66246</v>
      </c>
    </row>
    <row r="17" spans="2:26" s="41" customFormat="1" ht="4.5" customHeight="1"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2:26" s="49" customFormat="1" ht="11.25" customHeight="1">
      <c r="B18" s="50" t="s">
        <v>145</v>
      </c>
      <c r="C18" s="51"/>
      <c r="D18" s="52">
        <f>'2015'!M18*30.2%</f>
        <v>377379.2</v>
      </c>
      <c r="E18" s="51"/>
      <c r="F18" s="52">
        <f>'2016'!B18*30.2%</f>
        <v>414525.2</v>
      </c>
      <c r="G18" s="51"/>
      <c r="H18" s="52">
        <f>'2016'!C18*30.2%</f>
        <v>414525.2</v>
      </c>
      <c r="I18" s="51"/>
      <c r="J18" s="52">
        <f>'2016'!D18*30.2%</f>
        <v>414525.2</v>
      </c>
      <c r="K18" s="51"/>
      <c r="L18" s="52">
        <f>'2016'!E18*30.2%</f>
        <v>414525.2</v>
      </c>
      <c r="M18" s="51"/>
      <c r="N18" s="52">
        <f>'2016'!F18*30.2%</f>
        <v>414525.2</v>
      </c>
      <c r="O18" s="51"/>
      <c r="P18" s="52">
        <f>'2016'!G18*30.2%</f>
        <v>414525.2</v>
      </c>
      <c r="Q18" s="51"/>
      <c r="R18" s="52">
        <f>'2016'!H18*30.2%</f>
        <v>414525.2</v>
      </c>
      <c r="S18" s="51"/>
      <c r="T18" s="52">
        <f>'2016'!I18*30.2%</f>
        <v>414525.2</v>
      </c>
      <c r="U18" s="51"/>
      <c r="V18" s="52">
        <f>'2016'!J18*30.2%</f>
        <v>414525.2</v>
      </c>
      <c r="W18" s="51"/>
      <c r="X18" s="52">
        <f>'2016'!K18*30.2%</f>
        <v>414525.2</v>
      </c>
      <c r="Y18" s="51"/>
      <c r="Z18" s="52">
        <f>'2016'!L18*30.2%</f>
        <v>414525.2</v>
      </c>
    </row>
    <row r="19" spans="2:26" s="41" customFormat="1" ht="4.5" customHeight="1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11.25" customHeight="1">
      <c r="A20" s="42"/>
      <c r="B20" s="43" t="s">
        <v>144</v>
      </c>
      <c r="C20" s="48"/>
      <c r="D20" s="47">
        <f>'2016'!B18*40%</f>
        <v>549040</v>
      </c>
      <c r="E20" s="48"/>
      <c r="F20" s="47">
        <f>'2016'!C18</f>
        <v>1372600</v>
      </c>
      <c r="G20" s="48"/>
      <c r="H20" s="47">
        <f>'2016'!D18</f>
        <v>1372600</v>
      </c>
      <c r="I20" s="48"/>
      <c r="J20" s="47">
        <f>'2016'!E18</f>
        <v>1372600</v>
      </c>
      <c r="K20" s="48"/>
      <c r="L20" s="47">
        <f>'2016'!F18</f>
        <v>1372600</v>
      </c>
      <c r="M20" s="48"/>
      <c r="N20" s="47">
        <f>'2016'!G18</f>
        <v>1372600</v>
      </c>
      <c r="O20" s="48"/>
      <c r="P20" s="47">
        <f>'2016'!H18</f>
        <v>1372600</v>
      </c>
      <c r="Q20" s="48"/>
      <c r="R20" s="47">
        <f>'2016'!I18</f>
        <v>1372600</v>
      </c>
      <c r="S20" s="48"/>
      <c r="T20" s="47">
        <f>'2016'!J18</f>
        <v>1372600</v>
      </c>
      <c r="U20" s="48"/>
      <c r="V20" s="47">
        <f>'2016'!K18</f>
        <v>1372600</v>
      </c>
      <c r="W20" s="48"/>
      <c r="X20" s="47">
        <f>'2016'!L18</f>
        <v>1372600</v>
      </c>
      <c r="Y20" s="48"/>
      <c r="Z20" s="47">
        <f>'2016'!M18</f>
        <v>1372600</v>
      </c>
    </row>
    <row r="21" spans="2:26" s="41" customFormat="1" ht="4.5" customHeight="1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12" customHeight="1">
      <c r="A22" s="42"/>
      <c r="B22" s="43" t="s">
        <v>139</v>
      </c>
      <c r="C22" s="48"/>
      <c r="D22" s="47"/>
      <c r="E22" s="48"/>
      <c r="F22" s="47"/>
      <c r="G22" s="48"/>
      <c r="H22" s="47"/>
      <c r="I22" s="48"/>
      <c r="J22" s="47"/>
      <c r="K22" s="48"/>
      <c r="L22" s="47"/>
      <c r="M22" s="48"/>
      <c r="N22" s="47"/>
      <c r="O22" s="48"/>
      <c r="P22" s="47"/>
      <c r="Q22" s="48"/>
      <c r="R22" s="47"/>
      <c r="S22" s="48"/>
      <c r="T22" s="47">
        <f>'2016'!B26+'2016'!G27</f>
        <v>6175223.6</v>
      </c>
      <c r="U22" s="48"/>
      <c r="V22" s="47"/>
      <c r="W22" s="48"/>
      <c r="X22" s="47"/>
      <c r="Y22" s="48"/>
      <c r="Z22" s="47"/>
    </row>
    <row r="23" spans="2:26" s="41" customFormat="1" ht="4.5" customHeight="1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11.25" customHeight="1">
      <c r="A24" s="42"/>
      <c r="B24" s="43" t="s">
        <v>143</v>
      </c>
      <c r="C24" s="48"/>
      <c r="D24" s="47"/>
      <c r="E24" s="48"/>
      <c r="F24" s="47">
        <f>'2016'!C28</f>
        <v>414037.5</v>
      </c>
      <c r="G24" s="48"/>
      <c r="H24" s="47">
        <f>'2016'!D28</f>
        <v>828037.5</v>
      </c>
      <c r="I24" s="48"/>
      <c r="J24" s="47">
        <f>'2016'!E28*50%</f>
        <v>6727818.75</v>
      </c>
      <c r="K24" s="48"/>
      <c r="L24" s="47">
        <f>'2016'!F28*50%</f>
        <v>6727818.75</v>
      </c>
      <c r="M24" s="48"/>
      <c r="N24" s="47">
        <f>'2016'!E28*25%+'2016'!G28</f>
        <v>10195246.875</v>
      </c>
      <c r="O24" s="48"/>
      <c r="P24" s="47">
        <f>'2016'!H28+'2016'!E28*25%</f>
        <v>10195246.875</v>
      </c>
      <c r="Q24" s="48"/>
      <c r="R24" s="47">
        <f>'2016'!I28+'2016'!F28*25%+'2016'!B28</f>
        <v>10195246.875</v>
      </c>
      <c r="S24" s="48"/>
      <c r="T24" s="47">
        <f>'2016'!J28+'2016'!F28*25%</f>
        <v>10195246.875</v>
      </c>
      <c r="U24" s="48"/>
      <c r="V24" s="47">
        <f>'2016'!K28</f>
        <v>13455637.5</v>
      </c>
      <c r="W24" s="48"/>
      <c r="X24" s="47">
        <f>'2016'!L28</f>
        <v>13455637.5</v>
      </c>
      <c r="Y24" s="48"/>
      <c r="Z24" s="47">
        <f>'2016'!M28</f>
        <v>414037.5</v>
      </c>
    </row>
    <row r="25" spans="2:26" s="41" customFormat="1" ht="4.5" customHeight="1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15" customHeight="1">
      <c r="A26" s="42"/>
      <c r="B26" s="43" t="s">
        <v>142</v>
      </c>
      <c r="C26" s="48"/>
      <c r="D26" s="47">
        <f>'2016'!B25</f>
        <v>8000</v>
      </c>
      <c r="E26" s="48"/>
      <c r="F26" s="47">
        <f>'2016'!C25</f>
        <v>8000</v>
      </c>
      <c r="G26" s="48"/>
      <c r="H26" s="47">
        <f>'2016'!D25</f>
        <v>8000</v>
      </c>
      <c r="I26" s="48"/>
      <c r="J26" s="47">
        <f>'2016'!E25</f>
        <v>8000</v>
      </c>
      <c r="K26" s="48"/>
      <c r="L26" s="47">
        <f>'2016'!F25</f>
        <v>8000</v>
      </c>
      <c r="M26" s="48"/>
      <c r="N26" s="47">
        <f>'2016'!G25</f>
        <v>8000</v>
      </c>
      <c r="O26" s="48"/>
      <c r="P26" s="47">
        <f>'2016'!H25</f>
        <v>8000</v>
      </c>
      <c r="Q26" s="48"/>
      <c r="R26" s="47">
        <f>'2016'!I25</f>
        <v>8000</v>
      </c>
      <c r="S26" s="48"/>
      <c r="T26" s="47">
        <f>'2016'!J25</f>
        <v>8000</v>
      </c>
      <c r="U26" s="48"/>
      <c r="V26" s="47">
        <f>'2016'!K25</f>
        <v>8000</v>
      </c>
      <c r="W26" s="48"/>
      <c r="X26" s="47">
        <f>'2016'!L25</f>
        <v>8000</v>
      </c>
      <c r="Y26" s="48"/>
      <c r="Z26" s="47">
        <f>'2016'!M25</f>
        <v>8000</v>
      </c>
    </row>
    <row r="27" spans="2:26" s="41" customFormat="1" ht="4.5" customHeight="1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14.25" customHeight="1">
      <c r="A28" s="42"/>
      <c r="B28" s="43" t="s">
        <v>146</v>
      </c>
      <c r="C28" s="48"/>
      <c r="D28" s="47">
        <f>'2016'!B14</f>
        <v>40000</v>
      </c>
      <c r="E28" s="48"/>
      <c r="F28" s="47"/>
      <c r="G28" s="48"/>
      <c r="H28" s="47"/>
      <c r="I28" s="48"/>
      <c r="J28" s="47">
        <f>'2016'!E14</f>
        <v>10000</v>
      </c>
      <c r="K28" s="48"/>
      <c r="L28" s="47"/>
      <c r="M28" s="48"/>
      <c r="N28" s="47"/>
      <c r="O28" s="48"/>
      <c r="P28" s="47">
        <f>'2016'!H14</f>
        <v>40000</v>
      </c>
      <c r="Q28" s="48"/>
      <c r="R28" s="47"/>
      <c r="S28" s="48"/>
      <c r="T28" s="47"/>
      <c r="U28" s="48"/>
      <c r="V28" s="47">
        <f>'2016'!K14</f>
        <v>10000</v>
      </c>
      <c r="W28" s="48"/>
      <c r="X28" s="47"/>
      <c r="Y28" s="48"/>
      <c r="Z28" s="47"/>
    </row>
    <row r="29" spans="2:26" s="41" customFormat="1" ht="4.5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11.25" customHeight="1">
      <c r="A30" s="42"/>
      <c r="B30" s="43" t="s">
        <v>141</v>
      </c>
      <c r="C30" s="48"/>
      <c r="D30" s="47">
        <v>12000</v>
      </c>
      <c r="E30" s="48"/>
      <c r="F30" s="47">
        <v>12000</v>
      </c>
      <c r="G30" s="48"/>
      <c r="H30" s="47">
        <v>12000</v>
      </c>
      <c r="I30" s="48"/>
      <c r="J30" s="47">
        <f>'2016'!E29</f>
        <v>12000</v>
      </c>
      <c r="K30" s="48"/>
      <c r="L30" s="47">
        <f>'2016'!F29</f>
        <v>12000</v>
      </c>
      <c r="M30" s="48"/>
      <c r="N30" s="47">
        <f>'2016'!G29</f>
        <v>12000</v>
      </c>
      <c r="O30" s="48"/>
      <c r="P30" s="47">
        <f>'2016'!H29</f>
        <v>12000</v>
      </c>
      <c r="Q30" s="48"/>
      <c r="R30" s="47">
        <f>'2016'!I29</f>
        <v>12000</v>
      </c>
      <c r="S30" s="48"/>
      <c r="T30" s="47">
        <f>'2016'!J29</f>
        <v>12000</v>
      </c>
      <c r="U30" s="48"/>
      <c r="V30" s="47">
        <f>'2016'!K29</f>
        <v>12000</v>
      </c>
      <c r="W30" s="48"/>
      <c r="X30" s="47">
        <f>'2016'!L29</f>
        <v>12000</v>
      </c>
      <c r="Y30" s="48"/>
      <c r="Z30" s="47">
        <f>'2016'!M29</f>
        <v>12000</v>
      </c>
    </row>
    <row r="31" spans="2:26" s="41" customFormat="1" ht="4.5" customHeight="1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11.25" customHeight="1">
      <c r="A32" s="42"/>
      <c r="B32" s="43" t="s">
        <v>12</v>
      </c>
      <c r="C32" s="48"/>
      <c r="D32" s="47">
        <f>'2015'!K16</f>
        <v>656737</v>
      </c>
      <c r="E32" s="48"/>
      <c r="F32" s="47"/>
      <c r="G32" s="48"/>
      <c r="H32" s="47"/>
      <c r="I32" s="48"/>
      <c r="J32" s="47">
        <f>'2016'!B16</f>
        <v>591063</v>
      </c>
      <c r="K32" s="48"/>
      <c r="L32" s="47"/>
      <c r="M32" s="48"/>
      <c r="N32" s="47"/>
      <c r="O32" s="48"/>
      <c r="P32" s="47">
        <f>'2016'!E16</f>
        <v>531957</v>
      </c>
      <c r="Q32" s="48"/>
      <c r="R32" s="47"/>
      <c r="S32" s="48"/>
      <c r="T32" s="47"/>
      <c r="U32" s="48"/>
      <c r="V32" s="47">
        <f>'2016'!H16</f>
        <v>478761</v>
      </c>
      <c r="W32" s="48"/>
      <c r="X32" s="47"/>
      <c r="Y32" s="48"/>
      <c r="Z32" s="47"/>
    </row>
    <row r="33" spans="2:26" s="41" customFormat="1" ht="4.5" customHeight="1">
      <c r="B33" s="43"/>
      <c r="C33" s="114"/>
      <c r="D33" s="47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2:26" s="53" customFormat="1" ht="11.25" customHeight="1">
      <c r="B34" s="43" t="s">
        <v>15</v>
      </c>
      <c r="C34" s="114"/>
      <c r="D34" s="47">
        <v>1000000</v>
      </c>
      <c r="E34" s="114"/>
      <c r="F34" s="115">
        <v>1000000</v>
      </c>
      <c r="G34" s="114"/>
      <c r="H34" s="115">
        <v>1000000</v>
      </c>
      <c r="I34" s="114"/>
      <c r="J34" s="115">
        <v>1000000</v>
      </c>
      <c r="K34" s="114"/>
      <c r="L34" s="115">
        <v>1000000</v>
      </c>
      <c r="M34" s="114"/>
      <c r="N34" s="115">
        <v>1000000</v>
      </c>
      <c r="O34" s="114"/>
      <c r="P34" s="115">
        <v>1000000</v>
      </c>
      <c r="Q34" s="114"/>
      <c r="R34" s="115">
        <v>1000000</v>
      </c>
      <c r="S34" s="114"/>
      <c r="T34" s="115">
        <v>1000000</v>
      </c>
      <c r="U34" s="114"/>
      <c r="V34" s="115">
        <v>1000000</v>
      </c>
      <c r="W34" s="114"/>
      <c r="X34" s="115">
        <v>1000000</v>
      </c>
      <c r="Y34" s="114"/>
      <c r="Z34" s="115">
        <v>1000000</v>
      </c>
    </row>
    <row r="35" spans="2:26" s="41" customFormat="1" ht="5.25" customHeight="1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11.25" customHeight="1" hidden="1">
      <c r="A36" s="42"/>
      <c r="B36" s="43" t="s">
        <v>148</v>
      </c>
      <c r="C36" s="54"/>
      <c r="D36" s="47">
        <f>'2016'!B30</f>
        <v>0</v>
      </c>
      <c r="E36" s="54"/>
      <c r="F36" s="47"/>
      <c r="G36" s="54"/>
      <c r="H36" s="47"/>
      <c r="I36" s="54"/>
      <c r="J36" s="47"/>
      <c r="K36" s="54"/>
      <c r="L36" s="47"/>
      <c r="M36" s="54"/>
      <c r="N36" s="47"/>
      <c r="O36" s="54"/>
      <c r="P36" s="47"/>
      <c r="Q36" s="54"/>
      <c r="R36" s="47"/>
      <c r="S36" s="54"/>
      <c r="T36" s="47"/>
      <c r="U36" s="54"/>
      <c r="V36" s="47"/>
      <c r="W36" s="54"/>
      <c r="X36" s="47"/>
      <c r="Y36" s="54"/>
      <c r="Z36" s="47"/>
    </row>
    <row r="37" spans="2:26" s="41" customFormat="1" ht="4.5" customHeight="1" hidden="1"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11.25" customHeight="1" hidden="1">
      <c r="A38" s="42"/>
      <c r="B38" s="43" t="s">
        <v>129</v>
      </c>
      <c r="C38" s="48"/>
      <c r="D38" s="54"/>
      <c r="E38" s="48"/>
      <c r="F38" s="54"/>
      <c r="G38" s="48"/>
      <c r="H38" s="54"/>
      <c r="I38" s="48"/>
      <c r="J38" s="54"/>
      <c r="K38" s="48"/>
      <c r="L38" s="54"/>
      <c r="M38" s="48"/>
      <c r="N38" s="54"/>
      <c r="O38" s="48"/>
      <c r="P38" s="54"/>
      <c r="Q38" s="48"/>
      <c r="R38" s="54"/>
      <c r="S38" s="48"/>
      <c r="T38" s="54"/>
      <c r="U38" s="48"/>
      <c r="V38" s="54"/>
      <c r="W38" s="48"/>
      <c r="X38" s="54"/>
      <c r="Y38" s="48"/>
      <c r="Z38" s="54"/>
    </row>
    <row r="39" spans="2:26" s="41" customFormat="1" ht="4.5" customHeight="1" hidden="1"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14.25" customHeight="1" hidden="1">
      <c r="A40" s="42"/>
      <c r="B40" s="43" t="s">
        <v>130</v>
      </c>
      <c r="C40" s="48"/>
      <c r="D40" s="47"/>
      <c r="E40" s="48"/>
      <c r="F40" s="47"/>
      <c r="G40" s="48"/>
      <c r="H40" s="47"/>
      <c r="I40" s="48"/>
      <c r="J40" s="47"/>
      <c r="K40" s="48"/>
      <c r="L40" s="47"/>
      <c r="M40" s="48"/>
      <c r="N40" s="47"/>
      <c r="O40" s="48"/>
      <c r="P40" s="47"/>
      <c r="Q40" s="48"/>
      <c r="R40" s="47"/>
      <c r="S40" s="48"/>
      <c r="T40" s="47"/>
      <c r="U40" s="48"/>
      <c r="V40" s="47"/>
      <c r="W40" s="48"/>
      <c r="X40" s="47"/>
      <c r="Y40" s="48"/>
      <c r="Z40" s="47"/>
    </row>
    <row r="41" spans="2:26" s="41" customFormat="1" ht="4.5" customHeight="1" hidden="1"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11.25" customHeight="1">
      <c r="A42" s="42"/>
      <c r="B42" s="43" t="s">
        <v>131</v>
      </c>
      <c r="C42" s="48"/>
      <c r="D42" s="47">
        <f>'2016'!B10</f>
        <v>250000</v>
      </c>
      <c r="E42" s="48"/>
      <c r="F42" s="47">
        <f>'2016'!C10</f>
        <v>250000</v>
      </c>
      <c r="G42" s="48"/>
      <c r="H42" s="47">
        <f>'2016'!D10</f>
        <v>250000</v>
      </c>
      <c r="I42" s="48"/>
      <c r="J42" s="47">
        <f>'2016'!F10</f>
        <v>250000</v>
      </c>
      <c r="K42" s="48"/>
      <c r="L42" s="47">
        <f>'2016'!F10</f>
        <v>250000</v>
      </c>
      <c r="M42" s="48"/>
      <c r="N42" s="47">
        <f>'2016'!G10</f>
        <v>250000</v>
      </c>
      <c r="O42" s="48"/>
      <c r="P42" s="47">
        <f>'2016'!H10</f>
        <v>250000</v>
      </c>
      <c r="Q42" s="48"/>
      <c r="R42" s="47">
        <f>'2016'!I10</f>
        <v>250000</v>
      </c>
      <c r="S42" s="48"/>
      <c r="T42" s="47">
        <f>'2016'!J10</f>
        <v>250000</v>
      </c>
      <c r="U42" s="48"/>
      <c r="V42" s="47">
        <f>'2016'!K10</f>
        <v>250000</v>
      </c>
      <c r="W42" s="48"/>
      <c r="X42" s="47">
        <f>'2016'!L10</f>
        <v>250000</v>
      </c>
      <c r="Y42" s="48"/>
      <c r="Z42" s="47">
        <f>'2016'!M10</f>
        <v>250000</v>
      </c>
    </row>
    <row r="43" spans="2:26" s="41" customFormat="1" ht="4.5" customHeight="1"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11.25" customHeight="1">
      <c r="A44" s="42"/>
      <c r="B44" s="43" t="s">
        <v>138</v>
      </c>
      <c r="C44" s="48"/>
      <c r="D44" s="47">
        <f>'2016'!B22</f>
        <v>44000</v>
      </c>
      <c r="E44" s="48"/>
      <c r="F44" s="47">
        <f>'2016'!C22</f>
        <v>44000</v>
      </c>
      <c r="G44" s="48"/>
      <c r="H44" s="47">
        <f>'2016'!D22</f>
        <v>44000</v>
      </c>
      <c r="I44" s="48"/>
      <c r="J44" s="47">
        <f>'2016'!E22</f>
        <v>44000</v>
      </c>
      <c r="K44" s="48"/>
      <c r="L44" s="47">
        <f>'2016'!F22</f>
        <v>44000</v>
      </c>
      <c r="M44" s="48"/>
      <c r="N44" s="47">
        <f>'2016'!G22</f>
        <v>44000</v>
      </c>
      <c r="O44" s="48"/>
      <c r="P44" s="47">
        <f>'2016'!H22</f>
        <v>44000</v>
      </c>
      <c r="Q44" s="48"/>
      <c r="R44" s="47">
        <f>'2016'!I22</f>
        <v>44000</v>
      </c>
      <c r="S44" s="48"/>
      <c r="T44" s="47">
        <f>'2016'!J22</f>
        <v>44000</v>
      </c>
      <c r="U44" s="48"/>
      <c r="V44" s="47">
        <f>'2016'!K22</f>
        <v>44000</v>
      </c>
      <c r="W44" s="48"/>
      <c r="X44" s="47">
        <f>'2016'!L22</f>
        <v>44000</v>
      </c>
      <c r="Y44" s="48"/>
      <c r="Z44" s="47">
        <f>'2016'!M22</f>
        <v>44000</v>
      </c>
    </row>
    <row r="45" spans="2:26" s="41" customFormat="1" ht="4.5" customHeight="1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11.25" customHeight="1">
      <c r="A46" s="42"/>
      <c r="B46" s="43" t="s">
        <v>140</v>
      </c>
      <c r="C46" s="48"/>
      <c r="D46" s="47">
        <f>'2016'!B11+'2016'!B30+'2016'!B31</f>
        <v>646168</v>
      </c>
      <c r="E46" s="48"/>
      <c r="F46" s="47">
        <f>'2016'!C11+'2016'!C30+'2016'!C31</f>
        <v>646168</v>
      </c>
      <c r="G46" s="48"/>
      <c r="H46" s="47">
        <f>'2016'!D11+'2016'!D30+'2016'!D31</f>
        <v>646168</v>
      </c>
      <c r="I46" s="48"/>
      <c r="J46" s="47">
        <f>'2016'!E11+'2016'!E30+'2016'!E31</f>
        <v>646168</v>
      </c>
      <c r="K46" s="48"/>
      <c r="L46" s="47">
        <f>'2016'!F11+'2016'!F30+'2016'!F31</f>
        <v>646168</v>
      </c>
      <c r="M46" s="48"/>
      <c r="N46" s="47">
        <f>'2016'!G11+'2016'!G30+'2016'!G31</f>
        <v>1284836</v>
      </c>
      <c r="O46" s="48"/>
      <c r="P46" s="47">
        <f>'2016'!H11+'2016'!H30+'2016'!H31</f>
        <v>1284836</v>
      </c>
      <c r="Q46" s="48"/>
      <c r="R46" s="47">
        <f>'2016'!I11+'2016'!I30+'2016'!I31</f>
        <v>1284836</v>
      </c>
      <c r="S46" s="48"/>
      <c r="T46" s="47">
        <f>'2016'!J11+'2016'!J30+'2016'!J31</f>
        <v>1284836</v>
      </c>
      <c r="U46" s="48"/>
      <c r="V46" s="47">
        <f>'2016'!K11+'2016'!K30+'2016'!K31</f>
        <v>1284836</v>
      </c>
      <c r="W46" s="48"/>
      <c r="X46" s="47">
        <f>'2016'!L11+'2016'!L30+'2016'!L31</f>
        <v>1284836</v>
      </c>
      <c r="Y46" s="48"/>
      <c r="Z46" s="47">
        <f>'2016'!M11+'2016'!M30+'2016'!M31</f>
        <v>1284836</v>
      </c>
    </row>
    <row r="47" spans="2:26" s="41" customFormat="1" ht="4.5" customHeight="1"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1.25" customHeight="1">
      <c r="A48" s="42"/>
      <c r="B48" s="43" t="s">
        <v>151</v>
      </c>
      <c r="C48" s="48"/>
      <c r="D48" s="47"/>
      <c r="E48" s="48"/>
      <c r="F48" s="47"/>
      <c r="G48" s="48"/>
      <c r="H48" s="47"/>
      <c r="I48" s="48"/>
      <c r="J48" s="47"/>
      <c r="K48" s="48"/>
      <c r="L48" s="47">
        <v>200000</v>
      </c>
      <c r="M48" s="48"/>
      <c r="N48" s="47"/>
      <c r="O48" s="48"/>
      <c r="P48" s="47"/>
      <c r="Q48" s="48"/>
      <c r="R48" s="47"/>
      <c r="S48" s="48"/>
      <c r="T48" s="47"/>
      <c r="U48" s="48"/>
      <c r="V48" s="47"/>
      <c r="W48" s="48"/>
      <c r="X48" s="47"/>
      <c r="Y48" s="48"/>
      <c r="Z48" s="47"/>
    </row>
    <row r="49" spans="2:26" s="41" customFormat="1" ht="4.5" customHeight="1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11.25" customHeight="1">
      <c r="A50" s="42"/>
      <c r="B50" s="43" t="s">
        <v>167</v>
      </c>
      <c r="C50" s="48"/>
      <c r="D50" s="47"/>
      <c r="E50" s="48"/>
      <c r="F50" s="47"/>
      <c r="G50" s="48"/>
      <c r="H50" s="47"/>
      <c r="I50" s="48"/>
      <c r="J50" s="47"/>
      <c r="K50" s="48"/>
      <c r="L50" s="47"/>
      <c r="M50" s="48"/>
      <c r="N50" s="47"/>
      <c r="O50" s="48"/>
      <c r="P50" s="47">
        <f>'2016'!G24</f>
        <v>200000</v>
      </c>
      <c r="Q50" s="48"/>
      <c r="R50" s="47"/>
      <c r="S50" s="48"/>
      <c r="T50" s="47"/>
      <c r="U50" s="48"/>
      <c r="V50" s="47"/>
      <c r="W50" s="48"/>
      <c r="X50" s="47"/>
      <c r="Y50" s="48"/>
      <c r="Z50" s="47"/>
    </row>
    <row r="51" spans="2:26" s="41" customFormat="1" ht="4.5" customHeight="1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11.25" customHeight="1">
      <c r="A52" s="42"/>
      <c r="B52" s="43" t="s">
        <v>168</v>
      </c>
      <c r="C52" s="48"/>
      <c r="D52" s="47"/>
      <c r="E52" s="48"/>
      <c r="F52" s="47"/>
      <c r="G52" s="48"/>
      <c r="H52" s="47">
        <v>5291663</v>
      </c>
      <c r="I52" s="48"/>
      <c r="J52" s="47"/>
      <c r="K52" s="48"/>
      <c r="L52" s="47"/>
      <c r="M52" s="48"/>
      <c r="N52" s="47"/>
      <c r="O52" s="48"/>
      <c r="P52" s="47">
        <v>9720385</v>
      </c>
      <c r="Q52" s="48"/>
      <c r="R52" s="47"/>
      <c r="S52" s="48"/>
      <c r="T52" s="47"/>
      <c r="U52" s="48"/>
      <c r="V52" s="47">
        <v>6753049</v>
      </c>
      <c r="W52" s="48"/>
      <c r="X52" s="47"/>
      <c r="Y52" s="48"/>
      <c r="Z52" s="47"/>
    </row>
    <row r="53" spans="2:26" s="41" customFormat="1" ht="4.5" customHeight="1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11.25" customHeight="1">
      <c r="A54" s="42"/>
      <c r="B54" s="43" t="s">
        <v>133</v>
      </c>
      <c r="C54" s="48"/>
      <c r="D54" s="47">
        <f>'2016'!B12+'2016'!B15</f>
        <v>9500</v>
      </c>
      <c r="E54" s="48"/>
      <c r="F54" s="47">
        <f>'2016'!C12+'2016'!C15</f>
        <v>9500</v>
      </c>
      <c r="G54" s="48"/>
      <c r="H54" s="47">
        <f>'2016'!D12+'2016'!D15</f>
        <v>9500</v>
      </c>
      <c r="I54" s="48"/>
      <c r="J54" s="47">
        <f>'2016'!E12+'2016'!E15</f>
        <v>9500</v>
      </c>
      <c r="K54" s="48"/>
      <c r="L54" s="47">
        <f>'2016'!F12+'2016'!F15</f>
        <v>9500</v>
      </c>
      <c r="M54" s="48"/>
      <c r="N54" s="47">
        <f>'2016'!G12+'2016'!G15</f>
        <v>9500</v>
      </c>
      <c r="O54" s="48"/>
      <c r="P54" s="47">
        <f>'2016'!H12+'2016'!H15</f>
        <v>9500</v>
      </c>
      <c r="Q54" s="48"/>
      <c r="R54" s="47">
        <f>'2016'!I12+'2016'!I15</f>
        <v>9500</v>
      </c>
      <c r="S54" s="48"/>
      <c r="T54" s="47">
        <f>'2016'!J12+'2016'!J15</f>
        <v>9500</v>
      </c>
      <c r="U54" s="48"/>
      <c r="V54" s="47">
        <f>'2016'!K12+'2016'!K15</f>
        <v>9500</v>
      </c>
      <c r="W54" s="48"/>
      <c r="X54" s="47">
        <f>'2016'!L12+'2016'!L15</f>
        <v>9500</v>
      </c>
      <c r="Y54" s="48"/>
      <c r="Z54" s="47">
        <f>+'2016'!M12+'2016'!M15</f>
        <v>9500</v>
      </c>
    </row>
    <row r="55" spans="2:26" s="41" customFormat="1" ht="4.5" customHeight="1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11.25" customHeight="1">
      <c r="A56" s="42"/>
      <c r="B56" s="43" t="s">
        <v>134</v>
      </c>
      <c r="C56" s="48"/>
      <c r="D56" s="47"/>
      <c r="E56" s="48"/>
      <c r="F56" s="47">
        <f>'2016'!C21</f>
        <v>25000</v>
      </c>
      <c r="G56" s="48"/>
      <c r="H56" s="47"/>
      <c r="I56" s="48"/>
      <c r="J56" s="47"/>
      <c r="K56" s="48"/>
      <c r="L56" s="47"/>
      <c r="M56" s="48"/>
      <c r="N56" s="47"/>
      <c r="O56" s="48"/>
      <c r="P56" s="47"/>
      <c r="Q56" s="48"/>
      <c r="R56" s="47"/>
      <c r="S56" s="48"/>
      <c r="T56" s="47">
        <f>'2016'!J21</f>
        <v>25000</v>
      </c>
      <c r="U56" s="48"/>
      <c r="V56" s="47"/>
      <c r="W56" s="48"/>
      <c r="X56" s="47"/>
      <c r="Y56" s="48"/>
      <c r="Z56" s="47"/>
    </row>
    <row r="57" spans="2:26" s="41" customFormat="1" ht="4.5" customHeight="1"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1.25" customHeight="1">
      <c r="A58" s="42"/>
      <c r="B58" s="43" t="s">
        <v>135</v>
      </c>
      <c r="C58" s="48"/>
      <c r="D58" s="47">
        <f>'2016'!B7</f>
        <v>160000</v>
      </c>
      <c r="E58" s="48"/>
      <c r="F58" s="47">
        <f>'2016'!C7</f>
        <v>160000</v>
      </c>
      <c r="G58" s="48"/>
      <c r="H58" s="47">
        <f>'2016'!D7</f>
        <v>160000</v>
      </c>
      <c r="I58" s="48"/>
      <c r="J58" s="47">
        <f>'2016'!E7</f>
        <v>160000</v>
      </c>
      <c r="K58" s="48"/>
      <c r="L58" s="47">
        <f>'2016'!F7</f>
        <v>170000</v>
      </c>
      <c r="M58" s="48"/>
      <c r="N58" s="47">
        <f>'2016'!G7</f>
        <v>170000</v>
      </c>
      <c r="O58" s="48"/>
      <c r="P58" s="47">
        <f>'2016'!H7</f>
        <v>170000</v>
      </c>
      <c r="Q58" s="48"/>
      <c r="R58" s="47">
        <f>'2016'!I7</f>
        <v>170000</v>
      </c>
      <c r="S58" s="48"/>
      <c r="T58" s="47">
        <f>'2016'!J7</f>
        <v>170000</v>
      </c>
      <c r="U58" s="48"/>
      <c r="V58" s="47">
        <f>'2016'!K7</f>
        <v>170000</v>
      </c>
      <c r="W58" s="48"/>
      <c r="X58" s="47">
        <f>'2016'!L7</f>
        <v>170000</v>
      </c>
      <c r="Y58" s="48"/>
      <c r="Z58" s="47">
        <f>'2016'!M7</f>
        <v>170000</v>
      </c>
    </row>
    <row r="59" spans="2:26" s="41" customFormat="1" ht="4.5" customHeight="1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1.25" customHeight="1">
      <c r="A60" s="42"/>
      <c r="B60" s="43" t="s">
        <v>136</v>
      </c>
      <c r="C60" s="47">
        <f>SUM(C12:C58)</f>
        <v>15969285</v>
      </c>
      <c r="D60" s="47">
        <f>SUM(D12:D58)</f>
        <v>3819070.2</v>
      </c>
      <c r="E60" s="47">
        <f aca="true" t="shared" si="0" ref="E60:Z60">SUM(E12:E58)</f>
        <v>1490535</v>
      </c>
      <c r="F60" s="47">
        <f t="shared" si="0"/>
        <v>4422076.7</v>
      </c>
      <c r="G60" s="47">
        <f t="shared" si="0"/>
        <v>2980935</v>
      </c>
      <c r="H60" s="47">
        <f t="shared" si="0"/>
        <v>10168979.7</v>
      </c>
      <c r="I60" s="47">
        <f t="shared" si="0"/>
        <v>48440295</v>
      </c>
      <c r="J60" s="47">
        <f t="shared" si="0"/>
        <v>13398576.95</v>
      </c>
      <c r="K60" s="47">
        <f t="shared" si="0"/>
        <v>48440295</v>
      </c>
      <c r="L60" s="47">
        <f t="shared" si="0"/>
        <v>13007513.95</v>
      </c>
      <c r="M60" s="47">
        <f t="shared" si="0"/>
        <v>24592815</v>
      </c>
      <c r="N60" s="47">
        <f t="shared" si="0"/>
        <v>15853722.075</v>
      </c>
      <c r="O60" s="47">
        <f t="shared" si="0"/>
        <v>24592815</v>
      </c>
      <c r="P60" s="47">
        <f t="shared" si="0"/>
        <v>26346064.075</v>
      </c>
      <c r="Q60" s="47">
        <f t="shared" si="0"/>
        <v>24592815</v>
      </c>
      <c r="R60" s="47">
        <f t="shared" si="0"/>
        <v>15853722.075</v>
      </c>
      <c r="S60" s="47">
        <f t="shared" si="0"/>
        <v>24592815</v>
      </c>
      <c r="T60" s="47">
        <f t="shared" si="0"/>
        <v>22053945.675</v>
      </c>
      <c r="U60" s="47">
        <f t="shared" si="0"/>
        <v>48440295</v>
      </c>
      <c r="V60" s="47">
        <f t="shared" si="0"/>
        <v>27415810.7</v>
      </c>
      <c r="W60" s="47">
        <f t="shared" si="0"/>
        <v>24220147.5</v>
      </c>
      <c r="X60" s="47">
        <f t="shared" si="0"/>
        <v>20174000.7</v>
      </c>
      <c r="Y60" s="47">
        <f t="shared" si="0"/>
        <v>24220147.5</v>
      </c>
      <c r="Z60" s="47">
        <f t="shared" si="0"/>
        <v>5045744.7</v>
      </c>
    </row>
  </sheetData>
  <sheetProtection/>
  <mergeCells count="13">
    <mergeCell ref="Y8:Z8"/>
    <mergeCell ref="M8:N8"/>
    <mergeCell ref="O8:P8"/>
    <mergeCell ref="Q8:R8"/>
    <mergeCell ref="S8:T8"/>
    <mergeCell ref="U8:V8"/>
    <mergeCell ref="W8:X8"/>
    <mergeCell ref="B5:D5"/>
    <mergeCell ref="C8:D8"/>
    <mergeCell ref="E8:F8"/>
    <mergeCell ref="G8:H8"/>
    <mergeCell ref="I8:J8"/>
    <mergeCell ref="K8:L8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9">
      <selection activeCell="L35" sqref="L35"/>
    </sheetView>
  </sheetViews>
  <sheetFormatPr defaultColWidth="9.140625" defaultRowHeight="15"/>
  <cols>
    <col min="1" max="1" width="36.28125" style="121" customWidth="1"/>
    <col min="2" max="2" width="12.140625" style="121" customWidth="1"/>
    <col min="3" max="13" width="9.140625" style="121" customWidth="1"/>
    <col min="14" max="14" width="14.8515625" style="121" customWidth="1"/>
    <col min="15" max="15" width="12.7109375" style="121" customWidth="1"/>
    <col min="16" max="16384" width="9.140625" style="121" customWidth="1"/>
  </cols>
  <sheetData>
    <row r="1" spans="2:15" ht="15">
      <c r="B1" s="29"/>
      <c r="C1" s="17">
        <v>4006.0738560000004</v>
      </c>
      <c r="D1" s="17">
        <v>8012.147712000001</v>
      </c>
      <c r="E1" s="17">
        <v>130197.40032000002</v>
      </c>
      <c r="F1" s="17">
        <v>130197.40032000002</v>
      </c>
      <c r="G1" s="17">
        <v>66100.21862400002</v>
      </c>
      <c r="H1" s="17">
        <v>66100.21862400002</v>
      </c>
      <c r="I1" s="17">
        <v>66100.21862400002</v>
      </c>
      <c r="J1" s="17">
        <v>66100.21862400002</v>
      </c>
      <c r="K1" s="17">
        <v>130197.40032000002</v>
      </c>
      <c r="L1" s="17">
        <v>130197.40032000002</v>
      </c>
      <c r="M1" s="17">
        <v>4006.0738560000004</v>
      </c>
      <c r="N1" s="122"/>
      <c r="O1" s="122"/>
    </row>
    <row r="4" ht="15">
      <c r="A4" s="123"/>
    </row>
    <row r="5" spans="1:15" ht="25.5">
      <c r="A5" s="124"/>
      <c r="B5" s="34" t="s">
        <v>64</v>
      </c>
      <c r="C5" s="34" t="s">
        <v>65</v>
      </c>
      <c r="D5" s="34" t="s">
        <v>66</v>
      </c>
      <c r="E5" s="34" t="s">
        <v>67</v>
      </c>
      <c r="F5" s="34" t="s">
        <v>68</v>
      </c>
      <c r="G5" s="34" t="s">
        <v>69</v>
      </c>
      <c r="H5" s="34" t="s">
        <v>70</v>
      </c>
      <c r="I5" s="34" t="s">
        <v>71</v>
      </c>
      <c r="J5" s="34" t="s">
        <v>72</v>
      </c>
      <c r="K5" s="34" t="s">
        <v>73</v>
      </c>
      <c r="L5" s="34" t="s">
        <v>74</v>
      </c>
      <c r="M5" s="34" t="s">
        <v>75</v>
      </c>
      <c r="N5" s="34" t="s">
        <v>28</v>
      </c>
      <c r="O5" s="34" t="s">
        <v>76</v>
      </c>
    </row>
    <row r="6" spans="1:15" ht="15">
      <c r="A6" s="34" t="s">
        <v>77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  <c r="O6" s="127"/>
    </row>
    <row r="7" spans="1:15" ht="15">
      <c r="A7" s="128" t="s">
        <v>103</v>
      </c>
      <c r="B7" s="29">
        <v>160000</v>
      </c>
      <c r="C7" s="29">
        <v>160000</v>
      </c>
      <c r="D7" s="29">
        <v>160000</v>
      </c>
      <c r="E7" s="29">
        <v>160000</v>
      </c>
      <c r="F7" s="29">
        <v>170000</v>
      </c>
      <c r="G7" s="29">
        <v>170000</v>
      </c>
      <c r="H7" s="29">
        <v>170000</v>
      </c>
      <c r="I7" s="29">
        <v>170000</v>
      </c>
      <c r="J7" s="29">
        <v>170000</v>
      </c>
      <c r="K7" s="29">
        <v>170000</v>
      </c>
      <c r="L7" s="29">
        <v>170000</v>
      </c>
      <c r="M7" s="29">
        <v>170000</v>
      </c>
      <c r="N7" s="129">
        <f>SUM(B7:M7)</f>
        <v>2000000</v>
      </c>
      <c r="O7" s="127"/>
    </row>
    <row r="8" spans="1:15" ht="15">
      <c r="A8" s="128" t="s">
        <v>3</v>
      </c>
      <c r="B8" s="29"/>
      <c r="C8" s="122">
        <f>5*C1</f>
        <v>20030.369280000003</v>
      </c>
      <c r="D8" s="122">
        <f aca="true" t="shared" si="0" ref="D8:M8">5*D1</f>
        <v>40060.738560000005</v>
      </c>
      <c r="E8" s="122">
        <f t="shared" si="0"/>
        <v>650987.0016000001</v>
      </c>
      <c r="F8" s="122">
        <f t="shared" si="0"/>
        <v>650987.0016000001</v>
      </c>
      <c r="G8" s="122">
        <f t="shared" si="0"/>
        <v>330501.0931200001</v>
      </c>
      <c r="H8" s="122">
        <f t="shared" si="0"/>
        <v>330501.0931200001</v>
      </c>
      <c r="I8" s="122">
        <f t="shared" si="0"/>
        <v>330501.0931200001</v>
      </c>
      <c r="J8" s="122">
        <f t="shared" si="0"/>
        <v>330501.0931200001</v>
      </c>
      <c r="K8" s="122">
        <f t="shared" si="0"/>
        <v>650987.0016000001</v>
      </c>
      <c r="L8" s="122">
        <f t="shared" si="0"/>
        <v>650987.0016000001</v>
      </c>
      <c r="M8" s="122">
        <f t="shared" si="0"/>
        <v>20030.369280000003</v>
      </c>
      <c r="N8" s="130">
        <f>SUM(B8:M8)</f>
        <v>4006073.8560000006</v>
      </c>
      <c r="O8" s="131"/>
    </row>
    <row r="9" spans="1:15" ht="24">
      <c r="A9" s="128" t="s">
        <v>5</v>
      </c>
      <c r="B9" s="29">
        <v>1666667</v>
      </c>
      <c r="C9" s="29">
        <v>1666667</v>
      </c>
      <c r="D9" s="29">
        <v>1666667</v>
      </c>
      <c r="E9" s="29">
        <v>1666667</v>
      </c>
      <c r="F9" s="29">
        <v>1666667</v>
      </c>
      <c r="G9" s="29">
        <v>1666667</v>
      </c>
      <c r="H9" s="29">
        <v>1666667</v>
      </c>
      <c r="I9" s="29">
        <v>1666667</v>
      </c>
      <c r="J9" s="29">
        <v>1666667</v>
      </c>
      <c r="K9" s="29">
        <v>1666667</v>
      </c>
      <c r="L9" s="29">
        <v>1666667</v>
      </c>
      <c r="M9" s="29">
        <v>1666667</v>
      </c>
      <c r="N9" s="130">
        <f aca="true" t="shared" si="1" ref="N9:N32">SUM(B9:M9)</f>
        <v>20000004</v>
      </c>
      <c r="O9" s="132" t="s">
        <v>166</v>
      </c>
    </row>
    <row r="10" spans="1:15" ht="15">
      <c r="A10" s="133" t="s">
        <v>6</v>
      </c>
      <c r="B10" s="29">
        <v>200000</v>
      </c>
      <c r="C10" s="29">
        <v>200000</v>
      </c>
      <c r="D10" s="29">
        <v>200000</v>
      </c>
      <c r="E10" s="29">
        <v>200000</v>
      </c>
      <c r="F10" s="29">
        <v>200000</v>
      </c>
      <c r="G10" s="29">
        <v>200000</v>
      </c>
      <c r="H10" s="29">
        <v>200000</v>
      </c>
      <c r="I10" s="29">
        <v>200000</v>
      </c>
      <c r="J10" s="29">
        <v>200000</v>
      </c>
      <c r="K10" s="29">
        <v>200000</v>
      </c>
      <c r="L10" s="29">
        <v>200000</v>
      </c>
      <c r="M10" s="29">
        <v>200000</v>
      </c>
      <c r="N10" s="130">
        <f t="shared" si="1"/>
        <v>2400000</v>
      </c>
      <c r="O10" s="132"/>
    </row>
    <row r="11" spans="1:15" ht="15">
      <c r="A11" s="134" t="s">
        <v>7</v>
      </c>
      <c r="B11" s="29">
        <v>5200</v>
      </c>
      <c r="C11" s="29">
        <v>5200</v>
      </c>
      <c r="D11" s="29">
        <v>5200</v>
      </c>
      <c r="E11" s="29">
        <v>5200</v>
      </c>
      <c r="F11" s="29">
        <v>5200</v>
      </c>
      <c r="G11" s="29">
        <v>5200</v>
      </c>
      <c r="H11" s="29">
        <v>5200</v>
      </c>
      <c r="I11" s="29">
        <v>5200</v>
      </c>
      <c r="J11" s="29">
        <v>5200</v>
      </c>
      <c r="K11" s="29">
        <v>5200</v>
      </c>
      <c r="L11" s="29">
        <v>5200</v>
      </c>
      <c r="M11" s="29">
        <v>5200</v>
      </c>
      <c r="N11" s="130">
        <f t="shared" si="1"/>
        <v>62400</v>
      </c>
      <c r="O11" s="132"/>
    </row>
    <row r="12" spans="1:15" ht="24">
      <c r="A12" s="134" t="s">
        <v>8</v>
      </c>
      <c r="B12" s="29">
        <v>6000</v>
      </c>
      <c r="C12" s="29">
        <v>6000</v>
      </c>
      <c r="D12" s="29">
        <v>6000</v>
      </c>
      <c r="E12" s="29">
        <v>6000</v>
      </c>
      <c r="F12" s="29">
        <v>6000</v>
      </c>
      <c r="G12" s="29">
        <v>6000</v>
      </c>
      <c r="H12" s="29">
        <v>6000</v>
      </c>
      <c r="I12" s="29">
        <v>6000</v>
      </c>
      <c r="J12" s="29">
        <v>6000</v>
      </c>
      <c r="K12" s="29">
        <v>6000</v>
      </c>
      <c r="L12" s="29">
        <v>6000</v>
      </c>
      <c r="M12" s="29">
        <v>6000</v>
      </c>
      <c r="N12" s="130">
        <f t="shared" si="1"/>
        <v>72000</v>
      </c>
      <c r="O12" s="132"/>
    </row>
    <row r="13" spans="1:15" ht="15">
      <c r="A13" s="128" t="s">
        <v>151</v>
      </c>
      <c r="B13" s="29"/>
      <c r="C13" s="29"/>
      <c r="D13" s="29"/>
      <c r="E13" s="29"/>
      <c r="F13" s="29"/>
      <c r="G13" s="29">
        <v>200000</v>
      </c>
      <c r="H13" s="29"/>
      <c r="I13" s="29"/>
      <c r="J13" s="29"/>
      <c r="K13" s="29"/>
      <c r="L13" s="29"/>
      <c r="M13" s="29"/>
      <c r="N13" s="130">
        <f t="shared" si="1"/>
        <v>200000</v>
      </c>
      <c r="O13" s="132"/>
    </row>
    <row r="14" spans="1:15" ht="45">
      <c r="A14" s="135" t="s">
        <v>149</v>
      </c>
      <c r="B14" s="136">
        <v>40000</v>
      </c>
      <c r="C14" s="29"/>
      <c r="D14" s="29"/>
      <c r="E14" s="29">
        <v>10000</v>
      </c>
      <c r="F14" s="29"/>
      <c r="G14" s="29"/>
      <c r="H14" s="29">
        <v>40000</v>
      </c>
      <c r="I14" s="29"/>
      <c r="J14" s="29"/>
      <c r="K14" s="29">
        <v>10000</v>
      </c>
      <c r="L14" s="29"/>
      <c r="M14" s="29"/>
      <c r="N14" s="130">
        <f t="shared" si="1"/>
        <v>100000</v>
      </c>
      <c r="O14" s="137" t="s">
        <v>150</v>
      </c>
    </row>
    <row r="15" spans="1:15" ht="15">
      <c r="A15" s="128" t="s">
        <v>11</v>
      </c>
      <c r="B15" s="29">
        <v>3500</v>
      </c>
      <c r="C15" s="29">
        <v>3500</v>
      </c>
      <c r="D15" s="29">
        <v>3500</v>
      </c>
      <c r="E15" s="29">
        <v>3500</v>
      </c>
      <c r="F15" s="29">
        <v>3500</v>
      </c>
      <c r="G15" s="29">
        <v>3500</v>
      </c>
      <c r="H15" s="29">
        <v>3500</v>
      </c>
      <c r="I15" s="29">
        <v>3500</v>
      </c>
      <c r="J15" s="29">
        <v>3500</v>
      </c>
      <c r="K15" s="29">
        <v>3500</v>
      </c>
      <c r="L15" s="29">
        <v>3500</v>
      </c>
      <c r="M15" s="29">
        <v>3500</v>
      </c>
      <c r="N15" s="130">
        <f t="shared" si="1"/>
        <v>42000</v>
      </c>
      <c r="O15" s="132"/>
    </row>
    <row r="16" spans="1:15" ht="15">
      <c r="A16" s="128" t="s">
        <v>12</v>
      </c>
      <c r="B16" s="29"/>
      <c r="C16" s="29"/>
      <c r="D16" s="29"/>
      <c r="E16" s="29">
        <v>1213657</v>
      </c>
      <c r="F16" s="29"/>
      <c r="G16" s="29"/>
      <c r="H16" s="29">
        <v>1107314</v>
      </c>
      <c r="I16" s="29"/>
      <c r="J16" s="29"/>
      <c r="K16" s="29">
        <v>1000971</v>
      </c>
      <c r="L16" s="29"/>
      <c r="M16" s="29"/>
      <c r="N16" s="130">
        <f t="shared" si="1"/>
        <v>3321942</v>
      </c>
      <c r="O16" s="132"/>
    </row>
    <row r="17" spans="1:15" ht="24" hidden="1">
      <c r="A17" s="128" t="s">
        <v>13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130">
        <f t="shared" si="1"/>
        <v>0</v>
      </c>
      <c r="O17" s="132"/>
    </row>
    <row r="18" spans="1:15" ht="15">
      <c r="A18" s="135" t="s">
        <v>81</v>
      </c>
      <c r="B18" s="29">
        <v>1136000</v>
      </c>
      <c r="C18" s="29">
        <v>1136000</v>
      </c>
      <c r="D18" s="29">
        <v>1136000</v>
      </c>
      <c r="E18" s="29">
        <v>1136000</v>
      </c>
      <c r="F18" s="29">
        <v>1136000</v>
      </c>
      <c r="G18" s="29">
        <v>1136000</v>
      </c>
      <c r="H18" s="29">
        <v>1136000</v>
      </c>
      <c r="I18" s="29">
        <v>1136000</v>
      </c>
      <c r="J18" s="29">
        <v>1136000</v>
      </c>
      <c r="K18" s="29">
        <v>1136000</v>
      </c>
      <c r="L18" s="29">
        <v>1136000</v>
      </c>
      <c r="M18" s="29">
        <v>1136000</v>
      </c>
      <c r="N18" s="130">
        <f>SUM(B18:M18)</f>
        <v>13632000</v>
      </c>
      <c r="O18" s="132"/>
    </row>
    <row r="19" spans="1:15" ht="15">
      <c r="A19" s="128" t="s">
        <v>14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30">
        <f t="shared" si="1"/>
        <v>0</v>
      </c>
      <c r="O19" s="132"/>
    </row>
    <row r="20" spans="1:15" ht="15">
      <c r="A20" s="128" t="s">
        <v>15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130">
        <f t="shared" si="1"/>
        <v>0</v>
      </c>
      <c r="O20" s="132"/>
    </row>
    <row r="21" spans="1:15" ht="15">
      <c r="A21" s="128" t="s">
        <v>16</v>
      </c>
      <c r="B21" s="29"/>
      <c r="C21" s="29">
        <v>25000</v>
      </c>
      <c r="D21" s="29"/>
      <c r="E21" s="29"/>
      <c r="F21" s="29"/>
      <c r="G21" s="29"/>
      <c r="H21" s="29"/>
      <c r="I21" s="29"/>
      <c r="J21" s="29">
        <v>25000</v>
      </c>
      <c r="K21" s="29"/>
      <c r="L21" s="29"/>
      <c r="M21" s="29"/>
      <c r="N21" s="130">
        <f t="shared" si="1"/>
        <v>50000</v>
      </c>
      <c r="O21" s="132"/>
    </row>
    <row r="22" spans="1:15" ht="15">
      <c r="A22" s="128" t="s">
        <v>17</v>
      </c>
      <c r="B22" s="29">
        <v>40000</v>
      </c>
      <c r="C22" s="29">
        <v>40000</v>
      </c>
      <c r="D22" s="29">
        <v>40000</v>
      </c>
      <c r="E22" s="29">
        <v>40000</v>
      </c>
      <c r="F22" s="29">
        <v>40000</v>
      </c>
      <c r="G22" s="29">
        <v>40000</v>
      </c>
      <c r="H22" s="29">
        <v>40000</v>
      </c>
      <c r="I22" s="29">
        <v>40000</v>
      </c>
      <c r="J22" s="29">
        <v>40000</v>
      </c>
      <c r="K22" s="29">
        <v>40000</v>
      </c>
      <c r="L22" s="29">
        <v>40000</v>
      </c>
      <c r="M22" s="29">
        <v>40000</v>
      </c>
      <c r="N22" s="130">
        <f t="shared" si="1"/>
        <v>480000</v>
      </c>
      <c r="O22" s="132"/>
    </row>
    <row r="23" spans="1:15" ht="15" hidden="1">
      <c r="A23" s="128" t="s">
        <v>18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30">
        <f t="shared" si="1"/>
        <v>0</v>
      </c>
      <c r="O23" s="132"/>
    </row>
    <row r="24" spans="1:15" ht="22.5">
      <c r="A24" s="128" t="s">
        <v>2</v>
      </c>
      <c r="B24" s="29"/>
      <c r="C24" s="29"/>
      <c r="D24" s="29"/>
      <c r="E24" s="29"/>
      <c r="F24" s="29"/>
      <c r="G24" s="29">
        <v>200000</v>
      </c>
      <c r="H24" s="29"/>
      <c r="I24" s="29"/>
      <c r="J24" s="29"/>
      <c r="K24" s="29"/>
      <c r="L24" s="29"/>
      <c r="M24" s="29"/>
      <c r="N24" s="130">
        <f t="shared" si="1"/>
        <v>200000</v>
      </c>
      <c r="O24" s="132" t="s">
        <v>164</v>
      </c>
    </row>
    <row r="25" spans="1:15" ht="24">
      <c r="A25" s="128" t="s">
        <v>19</v>
      </c>
      <c r="B25" s="29">
        <v>8000</v>
      </c>
      <c r="C25" s="29">
        <v>8000</v>
      </c>
      <c r="D25" s="29">
        <v>8000</v>
      </c>
      <c r="E25" s="29">
        <v>8000</v>
      </c>
      <c r="F25" s="29">
        <v>8000</v>
      </c>
      <c r="G25" s="29">
        <v>8000</v>
      </c>
      <c r="H25" s="29">
        <v>8000</v>
      </c>
      <c r="I25" s="29">
        <v>8000</v>
      </c>
      <c r="J25" s="29">
        <v>8000</v>
      </c>
      <c r="K25" s="29">
        <v>8000</v>
      </c>
      <c r="L25" s="29">
        <v>8000</v>
      </c>
      <c r="M25" s="29">
        <v>8000</v>
      </c>
      <c r="N25" s="130">
        <f t="shared" si="1"/>
        <v>96000</v>
      </c>
      <c r="O25" s="132"/>
    </row>
    <row r="26" spans="1:15" ht="15">
      <c r="A26" s="128" t="s">
        <v>53</v>
      </c>
      <c r="B26" s="29">
        <v>2300000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130">
        <f t="shared" si="1"/>
        <v>2300000</v>
      </c>
      <c r="O26" s="132"/>
    </row>
    <row r="27" spans="1:15" ht="15">
      <c r="A27" s="128" t="s">
        <v>54</v>
      </c>
      <c r="B27" s="29"/>
      <c r="C27" s="29"/>
      <c r="D27" s="29"/>
      <c r="E27" s="29"/>
      <c r="F27" s="29"/>
      <c r="G27" s="29">
        <f>0.08*F35</f>
        <v>1406131.9234560002</v>
      </c>
      <c r="H27" s="29"/>
      <c r="I27" s="29"/>
      <c r="J27" s="29"/>
      <c r="K27" s="29"/>
      <c r="L27" s="29"/>
      <c r="M27" s="29"/>
      <c r="N27" s="130">
        <f t="shared" si="1"/>
        <v>1406131.9234560002</v>
      </c>
      <c r="O27" s="132"/>
    </row>
    <row r="28" spans="1:15" ht="56.25">
      <c r="A28" s="128" t="s">
        <v>20</v>
      </c>
      <c r="B28" s="29">
        <f>37.5*B1+600000+450000</f>
        <v>1050000</v>
      </c>
      <c r="C28" s="29">
        <f aca="true" t="shared" si="2" ref="C28:M28">37.5*C1</f>
        <v>150227.76960000003</v>
      </c>
      <c r="D28" s="29">
        <f t="shared" si="2"/>
        <v>300455.53920000006</v>
      </c>
      <c r="E28" s="29">
        <f t="shared" si="2"/>
        <v>4882402.512</v>
      </c>
      <c r="F28" s="29">
        <f t="shared" si="2"/>
        <v>4882402.512</v>
      </c>
      <c r="G28" s="29">
        <f t="shared" si="2"/>
        <v>2478758.1984000006</v>
      </c>
      <c r="H28" s="29">
        <f t="shared" si="2"/>
        <v>2478758.1984000006</v>
      </c>
      <c r="I28" s="29">
        <f t="shared" si="2"/>
        <v>2478758.1984000006</v>
      </c>
      <c r="J28" s="29">
        <f t="shared" si="2"/>
        <v>2478758.1984000006</v>
      </c>
      <c r="K28" s="29">
        <f t="shared" si="2"/>
        <v>4882402.512</v>
      </c>
      <c r="L28" s="29">
        <f t="shared" si="2"/>
        <v>4882402.512</v>
      </c>
      <c r="M28" s="29">
        <f t="shared" si="2"/>
        <v>150227.76960000003</v>
      </c>
      <c r="N28" s="130">
        <f t="shared" si="1"/>
        <v>31095553.920000006</v>
      </c>
      <c r="O28" s="132" t="s">
        <v>118</v>
      </c>
    </row>
    <row r="29" spans="1:15" ht="24">
      <c r="A29" s="128" t="s">
        <v>21</v>
      </c>
      <c r="B29" s="29">
        <v>12000</v>
      </c>
      <c r="C29" s="29">
        <v>12000</v>
      </c>
      <c r="D29" s="29">
        <v>12000</v>
      </c>
      <c r="E29" s="29">
        <v>12000</v>
      </c>
      <c r="F29" s="29">
        <v>12000</v>
      </c>
      <c r="G29" s="29">
        <v>12000</v>
      </c>
      <c r="H29" s="29">
        <v>12000</v>
      </c>
      <c r="I29" s="29">
        <v>12000</v>
      </c>
      <c r="J29" s="29">
        <v>12000</v>
      </c>
      <c r="K29" s="29">
        <v>12000</v>
      </c>
      <c r="L29" s="29">
        <v>12000</v>
      </c>
      <c r="M29" s="29">
        <v>12000</v>
      </c>
      <c r="N29" s="130">
        <f t="shared" si="1"/>
        <v>144000</v>
      </c>
      <c r="O29" s="132"/>
    </row>
    <row r="30" spans="1:15" ht="15">
      <c r="A30" s="128" t="s">
        <v>148</v>
      </c>
      <c r="B30" s="29">
        <v>200000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130">
        <f t="shared" si="1"/>
        <v>200000</v>
      </c>
      <c r="O30" s="132"/>
    </row>
    <row r="31" spans="1:15" ht="15">
      <c r="A31" s="128" t="s">
        <v>23</v>
      </c>
      <c r="B31" s="29">
        <v>443520</v>
      </c>
      <c r="C31" s="29">
        <v>443520</v>
      </c>
      <c r="D31" s="29">
        <v>443520</v>
      </c>
      <c r="E31" s="29">
        <v>443520</v>
      </c>
      <c r="F31" s="29">
        <v>443520</v>
      </c>
      <c r="G31" s="29">
        <f>443520*2</f>
        <v>887040</v>
      </c>
      <c r="H31" s="29">
        <f aca="true" t="shared" si="3" ref="H31:M31">443520*2</f>
        <v>887040</v>
      </c>
      <c r="I31" s="29">
        <f t="shared" si="3"/>
        <v>887040</v>
      </c>
      <c r="J31" s="29">
        <f t="shared" si="3"/>
        <v>887040</v>
      </c>
      <c r="K31" s="29">
        <f t="shared" si="3"/>
        <v>887040</v>
      </c>
      <c r="L31" s="29">
        <f t="shared" si="3"/>
        <v>887040</v>
      </c>
      <c r="M31" s="29">
        <f t="shared" si="3"/>
        <v>887040</v>
      </c>
      <c r="N31" s="130">
        <f t="shared" si="1"/>
        <v>8426880</v>
      </c>
      <c r="O31" s="132"/>
    </row>
    <row r="32" spans="1:15" ht="15">
      <c r="A32" s="1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130">
        <f t="shared" si="1"/>
        <v>0</v>
      </c>
      <c r="O32" s="132"/>
    </row>
    <row r="33" spans="1:15" ht="15">
      <c r="A33" s="34" t="s">
        <v>78</v>
      </c>
      <c r="B33" s="126">
        <f>SUM(B7:B32)</f>
        <v>7270887</v>
      </c>
      <c r="C33" s="126">
        <f aca="true" t="shared" si="4" ref="C33:M33">SUM(C7:C32)</f>
        <v>3876145.1388800004</v>
      </c>
      <c r="D33" s="126">
        <f t="shared" si="4"/>
        <v>4021403.27776</v>
      </c>
      <c r="E33" s="126">
        <f t="shared" si="4"/>
        <v>10437933.5136</v>
      </c>
      <c r="F33" s="126">
        <f t="shared" si="4"/>
        <v>9224276.5136</v>
      </c>
      <c r="G33" s="126">
        <f t="shared" si="4"/>
        <v>8749798.214976002</v>
      </c>
      <c r="H33" s="126">
        <f t="shared" si="4"/>
        <v>8090980.291520001</v>
      </c>
      <c r="I33" s="126">
        <f t="shared" si="4"/>
        <v>6943666.291520001</v>
      </c>
      <c r="J33" s="126">
        <f t="shared" si="4"/>
        <v>6968666.291520001</v>
      </c>
      <c r="K33" s="126">
        <f t="shared" si="4"/>
        <v>10678767.5136</v>
      </c>
      <c r="L33" s="126">
        <f t="shared" si="4"/>
        <v>9667796.5136</v>
      </c>
      <c r="M33" s="126">
        <f t="shared" si="4"/>
        <v>4304665.13888</v>
      </c>
      <c r="N33" s="138">
        <f>SUM(B33:M33)</f>
        <v>90234985.69945599</v>
      </c>
      <c r="O33" s="132"/>
    </row>
    <row r="34" spans="14:15" ht="15">
      <c r="N34" s="139"/>
      <c r="O34" s="140"/>
    </row>
    <row r="35" spans="1:15" ht="15">
      <c r="A35" s="34" t="s">
        <v>80</v>
      </c>
      <c r="B35" s="29">
        <f>135*B1</f>
        <v>0</v>
      </c>
      <c r="C35" s="29">
        <f>135*C1</f>
        <v>540819.97056</v>
      </c>
      <c r="D35" s="29">
        <f aca="true" t="shared" si="5" ref="C35:M35">135*D1</f>
        <v>1081639.94112</v>
      </c>
      <c r="E35" s="29">
        <f t="shared" si="5"/>
        <v>17576649.0432</v>
      </c>
      <c r="F35" s="29">
        <f t="shared" si="5"/>
        <v>17576649.0432</v>
      </c>
      <c r="G35" s="29">
        <f t="shared" si="5"/>
        <v>8923529.514240002</v>
      </c>
      <c r="H35" s="29">
        <f t="shared" si="5"/>
        <v>8923529.514240002</v>
      </c>
      <c r="I35" s="29">
        <f t="shared" si="5"/>
        <v>8923529.514240002</v>
      </c>
      <c r="J35" s="29">
        <f t="shared" si="5"/>
        <v>8923529.514240002</v>
      </c>
      <c r="K35" s="29">
        <f t="shared" si="5"/>
        <v>17576649.0432</v>
      </c>
      <c r="L35" s="29">
        <f t="shared" si="5"/>
        <v>17576649.0432</v>
      </c>
      <c r="M35" s="29">
        <f t="shared" si="5"/>
        <v>540819.97056</v>
      </c>
      <c r="N35" s="126">
        <f>SUM(B35:M35)</f>
        <v>108163994.11200002</v>
      </c>
      <c r="O35" s="2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6">
      <selection activeCell="F28" sqref="F28"/>
    </sheetView>
  </sheetViews>
  <sheetFormatPr defaultColWidth="9.140625" defaultRowHeight="15"/>
  <cols>
    <col min="1" max="1" width="36.28125" style="0" customWidth="1"/>
    <col min="3" max="3" width="9.28125" style="0" bestFit="1" customWidth="1"/>
    <col min="4" max="12" width="9.57421875" style="0" bestFit="1" customWidth="1"/>
    <col min="13" max="13" width="9.28125" style="0" bestFit="1" customWidth="1"/>
    <col min="14" max="14" width="14.8515625" style="0" customWidth="1"/>
  </cols>
  <sheetData>
    <row r="1" spans="2:15" ht="15">
      <c r="B1" s="16">
        <f>'2014'!B1*1.71168247</f>
        <v>0</v>
      </c>
      <c r="C1" s="17">
        <v>6857</v>
      </c>
      <c r="D1" s="17">
        <v>13715</v>
      </c>
      <c r="E1" s="17">
        <v>222868</v>
      </c>
      <c r="F1" s="17">
        <v>222868</v>
      </c>
      <c r="G1" s="17">
        <v>113148</v>
      </c>
      <c r="H1" s="17">
        <v>113148</v>
      </c>
      <c r="I1" s="17">
        <v>113148</v>
      </c>
      <c r="J1" s="17">
        <v>113148</v>
      </c>
      <c r="K1" s="17">
        <v>222868</v>
      </c>
      <c r="L1" s="17">
        <v>222868</v>
      </c>
      <c r="M1" s="17">
        <v>6857</v>
      </c>
      <c r="N1" s="17"/>
      <c r="O1" s="17"/>
    </row>
    <row r="4" ht="15">
      <c r="A4" s="18"/>
    </row>
    <row r="5" spans="1:15" ht="25.5">
      <c r="A5" s="30"/>
      <c r="B5" s="23" t="s">
        <v>64</v>
      </c>
      <c r="C5" s="23" t="s">
        <v>65</v>
      </c>
      <c r="D5" s="23" t="s">
        <v>66</v>
      </c>
      <c r="E5" s="23" t="s">
        <v>67</v>
      </c>
      <c r="F5" s="23" t="s">
        <v>68</v>
      </c>
      <c r="G5" s="23" t="s">
        <v>69</v>
      </c>
      <c r="H5" s="23" t="s">
        <v>70</v>
      </c>
      <c r="I5" s="23" t="s">
        <v>71</v>
      </c>
      <c r="J5" s="23" t="s">
        <v>72</v>
      </c>
      <c r="K5" s="23" t="s">
        <v>73</v>
      </c>
      <c r="L5" s="23" t="s">
        <v>74</v>
      </c>
      <c r="M5" s="23" t="s">
        <v>75</v>
      </c>
      <c r="N5" s="23" t="s">
        <v>28</v>
      </c>
      <c r="O5" s="23" t="s">
        <v>76</v>
      </c>
    </row>
    <row r="6" spans="1:15" ht="15">
      <c r="A6" s="23" t="s">
        <v>77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31"/>
    </row>
    <row r="7" spans="1:15" ht="15">
      <c r="A7" s="26" t="s">
        <v>103</v>
      </c>
      <c r="B7" s="16">
        <v>160000</v>
      </c>
      <c r="C7" s="16">
        <v>160000</v>
      </c>
      <c r="D7" s="16">
        <v>160000</v>
      </c>
      <c r="E7" s="16">
        <v>160000</v>
      </c>
      <c r="F7" s="16">
        <v>170000</v>
      </c>
      <c r="G7" s="16">
        <v>170000</v>
      </c>
      <c r="H7" s="16">
        <v>170000</v>
      </c>
      <c r="I7" s="16">
        <v>170000</v>
      </c>
      <c r="J7" s="16">
        <v>170000</v>
      </c>
      <c r="K7" s="16">
        <v>170000</v>
      </c>
      <c r="L7" s="16">
        <v>170000</v>
      </c>
      <c r="M7" s="16">
        <v>170000</v>
      </c>
      <c r="N7" s="37">
        <f>SUM(B7:M7)</f>
        <v>2000000</v>
      </c>
      <c r="O7" s="31"/>
    </row>
    <row r="8" spans="1:15" ht="15">
      <c r="A8" s="26" t="s">
        <v>3</v>
      </c>
      <c r="B8" s="16"/>
      <c r="C8" s="17">
        <f>5.5*C1</f>
        <v>37713.5</v>
      </c>
      <c r="D8" s="17">
        <f aca="true" t="shared" si="0" ref="D8:M8">5.5*D1</f>
        <v>75432.5</v>
      </c>
      <c r="E8" s="17">
        <f t="shared" si="0"/>
        <v>1225774</v>
      </c>
      <c r="F8" s="17">
        <f t="shared" si="0"/>
        <v>1225774</v>
      </c>
      <c r="G8" s="17">
        <f t="shared" si="0"/>
        <v>622314</v>
      </c>
      <c r="H8" s="17">
        <f t="shared" si="0"/>
        <v>622314</v>
      </c>
      <c r="I8" s="17">
        <f t="shared" si="0"/>
        <v>622314</v>
      </c>
      <c r="J8" s="17">
        <f t="shared" si="0"/>
        <v>622314</v>
      </c>
      <c r="K8" s="17">
        <f t="shared" si="0"/>
        <v>1225774</v>
      </c>
      <c r="L8" s="17">
        <f t="shared" si="0"/>
        <v>1225774</v>
      </c>
      <c r="M8" s="17">
        <f t="shared" si="0"/>
        <v>37713.5</v>
      </c>
      <c r="N8" s="37">
        <f>SUM(B8:M8)</f>
        <v>7543211.5</v>
      </c>
      <c r="O8" s="32"/>
    </row>
    <row r="9" spans="1:15" ht="24">
      <c r="A9" s="26" t="s">
        <v>5</v>
      </c>
      <c r="B9" s="16">
        <v>1666667</v>
      </c>
      <c r="C9" s="16">
        <v>1666667</v>
      </c>
      <c r="D9" s="16">
        <v>1666667</v>
      </c>
      <c r="E9" s="16">
        <v>1666667</v>
      </c>
      <c r="F9" s="16">
        <v>1666667</v>
      </c>
      <c r="G9" s="16">
        <v>1666667</v>
      </c>
      <c r="H9" s="16">
        <v>1666667</v>
      </c>
      <c r="I9" s="16">
        <v>1666667</v>
      </c>
      <c r="J9" s="16">
        <v>1666667</v>
      </c>
      <c r="K9" s="16">
        <v>1666667</v>
      </c>
      <c r="L9" s="16">
        <v>1666667</v>
      </c>
      <c r="M9" s="16">
        <v>1666667</v>
      </c>
      <c r="N9" s="37">
        <f aca="true" t="shared" si="1" ref="N9:N32">SUM(B9:M9)</f>
        <v>20000004</v>
      </c>
      <c r="O9" s="33" t="s">
        <v>166</v>
      </c>
    </row>
    <row r="10" spans="1:15" ht="15">
      <c r="A10" s="27" t="s">
        <v>6</v>
      </c>
      <c r="B10" s="16">
        <f>200000*1.15</f>
        <v>229999.99999999997</v>
      </c>
      <c r="C10" s="16">
        <f aca="true" t="shared" si="2" ref="C10:M10">200000*1.15</f>
        <v>229999.99999999997</v>
      </c>
      <c r="D10" s="16">
        <f t="shared" si="2"/>
        <v>229999.99999999997</v>
      </c>
      <c r="E10" s="16">
        <f t="shared" si="2"/>
        <v>229999.99999999997</v>
      </c>
      <c r="F10" s="16">
        <f t="shared" si="2"/>
        <v>229999.99999999997</v>
      </c>
      <c r="G10" s="16">
        <f t="shared" si="2"/>
        <v>229999.99999999997</v>
      </c>
      <c r="H10" s="16">
        <f t="shared" si="2"/>
        <v>229999.99999999997</v>
      </c>
      <c r="I10" s="16">
        <f t="shared" si="2"/>
        <v>229999.99999999997</v>
      </c>
      <c r="J10" s="16">
        <f t="shared" si="2"/>
        <v>229999.99999999997</v>
      </c>
      <c r="K10" s="16">
        <f t="shared" si="2"/>
        <v>229999.99999999997</v>
      </c>
      <c r="L10" s="16">
        <f t="shared" si="2"/>
        <v>229999.99999999997</v>
      </c>
      <c r="M10" s="16">
        <f t="shared" si="2"/>
        <v>229999.99999999997</v>
      </c>
      <c r="N10" s="37">
        <f t="shared" si="1"/>
        <v>2759999.9999999995</v>
      </c>
      <c r="O10" s="33"/>
    </row>
    <row r="11" spans="1:15" ht="15">
      <c r="A11" s="28" t="s">
        <v>7</v>
      </c>
      <c r="B11" s="16">
        <v>6240</v>
      </c>
      <c r="C11" s="16">
        <v>6240</v>
      </c>
      <c r="D11" s="16">
        <v>6240</v>
      </c>
      <c r="E11" s="16">
        <v>6240</v>
      </c>
      <c r="F11" s="16">
        <v>6240</v>
      </c>
      <c r="G11" s="16">
        <v>6240</v>
      </c>
      <c r="H11" s="16">
        <v>6240</v>
      </c>
      <c r="I11" s="16">
        <v>6240</v>
      </c>
      <c r="J11" s="16">
        <v>6240</v>
      </c>
      <c r="K11" s="16">
        <v>6240</v>
      </c>
      <c r="L11" s="16">
        <v>6240</v>
      </c>
      <c r="M11" s="16">
        <v>6240</v>
      </c>
      <c r="N11" s="37">
        <f t="shared" si="1"/>
        <v>74880</v>
      </c>
      <c r="O11" s="33"/>
    </row>
    <row r="12" spans="1:15" ht="24">
      <c r="A12" s="28" t="s">
        <v>8</v>
      </c>
      <c r="B12" s="16">
        <v>6000</v>
      </c>
      <c r="C12" s="16">
        <v>6000</v>
      </c>
      <c r="D12" s="16">
        <v>6000</v>
      </c>
      <c r="E12" s="16">
        <v>6000</v>
      </c>
      <c r="F12" s="16">
        <v>6000</v>
      </c>
      <c r="G12" s="16">
        <v>6000</v>
      </c>
      <c r="H12" s="16">
        <v>6000</v>
      </c>
      <c r="I12" s="16">
        <v>6000</v>
      </c>
      <c r="J12" s="16">
        <v>6000</v>
      </c>
      <c r="K12" s="16">
        <v>6000</v>
      </c>
      <c r="L12" s="16">
        <v>6000</v>
      </c>
      <c r="M12" s="16">
        <v>6000</v>
      </c>
      <c r="N12" s="37">
        <f t="shared" si="1"/>
        <v>72000</v>
      </c>
      <c r="O12" s="33"/>
    </row>
    <row r="13" spans="1:15" ht="15">
      <c r="A13" s="26" t="s">
        <v>151</v>
      </c>
      <c r="B13" s="16"/>
      <c r="C13" s="16"/>
      <c r="D13" s="16">
        <v>200000</v>
      </c>
      <c r="E13" s="16"/>
      <c r="F13" s="16"/>
      <c r="G13" s="16"/>
      <c r="H13" s="16"/>
      <c r="I13" s="16"/>
      <c r="J13" s="16"/>
      <c r="K13" s="16"/>
      <c r="L13" s="16"/>
      <c r="M13" s="16"/>
      <c r="N13" s="37">
        <f t="shared" si="1"/>
        <v>200000</v>
      </c>
      <c r="O13" s="33"/>
    </row>
    <row r="14" spans="1:15" ht="15">
      <c r="A14" s="26" t="s">
        <v>79</v>
      </c>
      <c r="B14" s="29">
        <v>40000</v>
      </c>
      <c r="C14" s="16"/>
      <c r="D14" s="16"/>
      <c r="E14" s="29">
        <v>10000</v>
      </c>
      <c r="F14" s="16"/>
      <c r="G14" s="16"/>
      <c r="H14" s="29">
        <v>40000</v>
      </c>
      <c r="I14" s="16"/>
      <c r="J14" s="16"/>
      <c r="K14" s="29">
        <v>10000</v>
      </c>
      <c r="L14" s="16"/>
      <c r="M14" s="16"/>
      <c r="N14" s="37">
        <f t="shared" si="1"/>
        <v>100000</v>
      </c>
      <c r="O14" s="33"/>
    </row>
    <row r="15" spans="1:15" ht="15">
      <c r="A15" s="26" t="s">
        <v>11</v>
      </c>
      <c r="B15" s="16">
        <v>3500</v>
      </c>
      <c r="C15" s="16">
        <v>3500</v>
      </c>
      <c r="D15" s="16">
        <v>3500</v>
      </c>
      <c r="E15" s="16">
        <v>3500</v>
      </c>
      <c r="F15" s="16">
        <v>3500</v>
      </c>
      <c r="G15" s="16">
        <v>3500</v>
      </c>
      <c r="H15" s="16">
        <v>3500</v>
      </c>
      <c r="I15" s="16">
        <v>3500</v>
      </c>
      <c r="J15" s="16">
        <v>3500</v>
      </c>
      <c r="K15" s="16">
        <v>3500</v>
      </c>
      <c r="L15" s="16">
        <v>3500</v>
      </c>
      <c r="M15" s="16">
        <v>3500</v>
      </c>
      <c r="N15" s="37">
        <f t="shared" si="1"/>
        <v>42000</v>
      </c>
      <c r="O15" s="33"/>
    </row>
    <row r="16" spans="1:15" ht="15">
      <c r="A16" s="26" t="s">
        <v>12</v>
      </c>
      <c r="B16" s="16">
        <v>900874</v>
      </c>
      <c r="C16" s="16"/>
      <c r="D16" s="16"/>
      <c r="E16" s="16">
        <v>810787</v>
      </c>
      <c r="F16" s="16"/>
      <c r="G16" s="16"/>
      <c r="H16" s="16">
        <v>729708</v>
      </c>
      <c r="I16" s="16"/>
      <c r="J16" s="16"/>
      <c r="K16" s="16">
        <v>656737</v>
      </c>
      <c r="L16" s="16"/>
      <c r="M16" s="16"/>
      <c r="N16" s="37">
        <f t="shared" si="1"/>
        <v>3098106</v>
      </c>
      <c r="O16" s="33"/>
    </row>
    <row r="17" spans="1:15" ht="24" hidden="1">
      <c r="A17" s="26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7">
        <f t="shared" si="1"/>
        <v>0</v>
      </c>
      <c r="O17" s="33"/>
    </row>
    <row r="18" spans="1:15" ht="15">
      <c r="A18" s="36" t="s">
        <v>81</v>
      </c>
      <c r="B18" s="16">
        <f>1136000*1.1</f>
        <v>1249600</v>
      </c>
      <c r="C18" s="16">
        <f aca="true" t="shared" si="3" ref="C18:M18">1136000*1.1</f>
        <v>1249600</v>
      </c>
      <c r="D18" s="16">
        <f t="shared" si="3"/>
        <v>1249600</v>
      </c>
      <c r="E18" s="16">
        <f t="shared" si="3"/>
        <v>1249600</v>
      </c>
      <c r="F18" s="16">
        <f t="shared" si="3"/>
        <v>1249600</v>
      </c>
      <c r="G18" s="16">
        <f t="shared" si="3"/>
        <v>1249600</v>
      </c>
      <c r="H18" s="16">
        <f t="shared" si="3"/>
        <v>1249600</v>
      </c>
      <c r="I18" s="16">
        <f t="shared" si="3"/>
        <v>1249600</v>
      </c>
      <c r="J18" s="16">
        <f t="shared" si="3"/>
        <v>1249600</v>
      </c>
      <c r="K18" s="16">
        <f t="shared" si="3"/>
        <v>1249600</v>
      </c>
      <c r="L18" s="16">
        <f t="shared" si="3"/>
        <v>1249600</v>
      </c>
      <c r="M18" s="16">
        <f t="shared" si="3"/>
        <v>1249600</v>
      </c>
      <c r="N18" s="37">
        <f>SUM(B18:M18)</f>
        <v>14995200</v>
      </c>
      <c r="O18" s="33"/>
    </row>
    <row r="19" spans="1:15" ht="15" hidden="1">
      <c r="A19" s="26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7">
        <f t="shared" si="1"/>
        <v>0</v>
      </c>
      <c r="O19" s="33"/>
    </row>
    <row r="20" spans="1:15" ht="15" hidden="1">
      <c r="A20" s="2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7">
        <f t="shared" si="1"/>
        <v>0</v>
      </c>
      <c r="O20" s="33"/>
    </row>
    <row r="21" spans="1:15" ht="15">
      <c r="A21" s="26" t="s">
        <v>16</v>
      </c>
      <c r="B21" s="16"/>
      <c r="C21" s="16">
        <v>25000</v>
      </c>
      <c r="D21" s="16"/>
      <c r="E21" s="16"/>
      <c r="F21" s="16"/>
      <c r="G21" s="16"/>
      <c r="H21" s="16"/>
      <c r="I21" s="16"/>
      <c r="J21" s="16">
        <v>25000</v>
      </c>
      <c r="K21" s="16"/>
      <c r="L21" s="16"/>
      <c r="M21" s="16"/>
      <c r="N21" s="37">
        <f t="shared" si="1"/>
        <v>50000</v>
      </c>
      <c r="O21" s="33"/>
    </row>
    <row r="22" spans="1:15" ht="15">
      <c r="A22" s="26" t="s">
        <v>17</v>
      </c>
      <c r="B22" s="16">
        <f>40000*1.1</f>
        <v>44000</v>
      </c>
      <c r="C22" s="16">
        <f aca="true" t="shared" si="4" ref="C22:M22">40000*1.1</f>
        <v>44000</v>
      </c>
      <c r="D22" s="16">
        <f t="shared" si="4"/>
        <v>44000</v>
      </c>
      <c r="E22" s="16">
        <f t="shared" si="4"/>
        <v>44000</v>
      </c>
      <c r="F22" s="16">
        <f t="shared" si="4"/>
        <v>44000</v>
      </c>
      <c r="G22" s="16">
        <f t="shared" si="4"/>
        <v>44000</v>
      </c>
      <c r="H22" s="16">
        <f t="shared" si="4"/>
        <v>44000</v>
      </c>
      <c r="I22" s="16">
        <f t="shared" si="4"/>
        <v>44000</v>
      </c>
      <c r="J22" s="16">
        <f t="shared" si="4"/>
        <v>44000</v>
      </c>
      <c r="K22" s="16">
        <f t="shared" si="4"/>
        <v>44000</v>
      </c>
      <c r="L22" s="16">
        <f t="shared" si="4"/>
        <v>44000</v>
      </c>
      <c r="M22" s="16">
        <f t="shared" si="4"/>
        <v>44000</v>
      </c>
      <c r="N22" s="37">
        <f t="shared" si="1"/>
        <v>528000</v>
      </c>
      <c r="O22" s="33"/>
    </row>
    <row r="23" spans="1:15" ht="15" hidden="1">
      <c r="A23" s="26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7">
        <f t="shared" si="1"/>
        <v>0</v>
      </c>
      <c r="O23" s="33"/>
    </row>
    <row r="24" spans="1:15" ht="33.75">
      <c r="A24" s="26" t="s">
        <v>2</v>
      </c>
      <c r="B24" s="16"/>
      <c r="C24" s="16"/>
      <c r="D24" s="16"/>
      <c r="E24" s="16"/>
      <c r="F24" s="16"/>
      <c r="G24" s="16">
        <v>200000</v>
      </c>
      <c r="H24" s="16"/>
      <c r="I24" s="16"/>
      <c r="J24" s="16"/>
      <c r="K24" s="16"/>
      <c r="L24" s="16"/>
      <c r="M24" s="16"/>
      <c r="N24" s="37">
        <f t="shared" si="1"/>
        <v>200000</v>
      </c>
      <c r="O24" s="33" t="s">
        <v>164</v>
      </c>
    </row>
    <row r="25" spans="1:15" ht="24">
      <c r="A25" s="26" t="s">
        <v>19</v>
      </c>
      <c r="B25" s="16">
        <v>8000</v>
      </c>
      <c r="C25" s="16">
        <v>8000</v>
      </c>
      <c r="D25" s="16">
        <v>8000</v>
      </c>
      <c r="E25" s="16">
        <v>8000</v>
      </c>
      <c r="F25" s="16">
        <v>8000</v>
      </c>
      <c r="G25" s="16">
        <v>8000</v>
      </c>
      <c r="H25" s="16">
        <v>8000</v>
      </c>
      <c r="I25" s="16">
        <v>8000</v>
      </c>
      <c r="J25" s="16">
        <v>8000</v>
      </c>
      <c r="K25" s="16">
        <v>8000</v>
      </c>
      <c r="L25" s="16">
        <v>8000</v>
      </c>
      <c r="M25" s="16">
        <v>8000</v>
      </c>
      <c r="N25" s="37">
        <f t="shared" si="1"/>
        <v>96000</v>
      </c>
      <c r="O25" s="33"/>
    </row>
    <row r="26" spans="1:15" ht="15">
      <c r="A26" s="26" t="s">
        <v>53</v>
      </c>
      <c r="B26" s="16">
        <v>2300000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7">
        <f t="shared" si="1"/>
        <v>2300000</v>
      </c>
      <c r="O26" s="33"/>
    </row>
    <row r="27" spans="1:15" ht="15">
      <c r="A27" s="26" t="s">
        <v>54</v>
      </c>
      <c r="B27" s="16"/>
      <c r="C27" s="16"/>
      <c r="D27" s="16"/>
      <c r="E27" s="16"/>
      <c r="F27" s="16"/>
      <c r="G27" s="16">
        <f>0.08*F35</f>
        <v>2406974.4</v>
      </c>
      <c r="H27" s="16"/>
      <c r="I27" s="16"/>
      <c r="J27" s="16"/>
      <c r="K27" s="16"/>
      <c r="L27" s="16"/>
      <c r="M27" s="16"/>
      <c r="N27" s="37">
        <f t="shared" si="1"/>
        <v>2406974.4</v>
      </c>
      <c r="O27" s="33"/>
    </row>
    <row r="28" spans="1:15" ht="15">
      <c r="A28" s="26" t="s">
        <v>20</v>
      </c>
      <c r="B28" s="16">
        <f>37.5*B1</f>
        <v>0</v>
      </c>
      <c r="C28" s="16">
        <f>37.5*C1</f>
        <v>257137.5</v>
      </c>
      <c r="D28" s="16">
        <f aca="true" t="shared" si="5" ref="D28:M28">37.5*D1</f>
        <v>514312.5</v>
      </c>
      <c r="E28" s="16">
        <f t="shared" si="5"/>
        <v>8357550</v>
      </c>
      <c r="F28" s="16">
        <f t="shared" si="5"/>
        <v>8357550</v>
      </c>
      <c r="G28" s="16">
        <f t="shared" si="5"/>
        <v>4243050</v>
      </c>
      <c r="H28" s="16">
        <f t="shared" si="5"/>
        <v>4243050</v>
      </c>
      <c r="I28" s="16">
        <f t="shared" si="5"/>
        <v>4243050</v>
      </c>
      <c r="J28" s="16">
        <f t="shared" si="5"/>
        <v>4243050</v>
      </c>
      <c r="K28" s="16">
        <f t="shared" si="5"/>
        <v>8357550</v>
      </c>
      <c r="L28" s="16">
        <f t="shared" si="5"/>
        <v>8357550</v>
      </c>
      <c r="M28" s="16">
        <f t="shared" si="5"/>
        <v>257137.5</v>
      </c>
      <c r="N28" s="37">
        <f t="shared" si="1"/>
        <v>51430987.5</v>
      </c>
      <c r="O28" s="33"/>
    </row>
    <row r="29" spans="1:15" ht="24">
      <c r="A29" s="26" t="s">
        <v>21</v>
      </c>
      <c r="B29" s="16">
        <v>12000</v>
      </c>
      <c r="C29" s="16">
        <v>12000</v>
      </c>
      <c r="D29" s="16">
        <v>12000</v>
      </c>
      <c r="E29" s="16">
        <v>12000</v>
      </c>
      <c r="F29" s="16">
        <v>12000</v>
      </c>
      <c r="G29" s="16">
        <v>12000</v>
      </c>
      <c r="H29" s="16">
        <v>12000</v>
      </c>
      <c r="I29" s="16">
        <v>12000</v>
      </c>
      <c r="J29" s="16">
        <v>12000</v>
      </c>
      <c r="K29" s="16">
        <v>12000</v>
      </c>
      <c r="L29" s="16">
        <v>12000</v>
      </c>
      <c r="M29" s="16">
        <v>12000</v>
      </c>
      <c r="N29" s="37">
        <f t="shared" si="1"/>
        <v>144000</v>
      </c>
      <c r="O29" s="33"/>
    </row>
    <row r="30" spans="1:15" ht="15">
      <c r="A30" s="26" t="s">
        <v>22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7">
        <f t="shared" si="1"/>
        <v>0</v>
      </c>
      <c r="O30" s="33"/>
    </row>
    <row r="31" spans="1:15" ht="15">
      <c r="A31" s="26" t="s">
        <v>23</v>
      </c>
      <c r="B31" s="16">
        <f>443520*1.2</f>
        <v>532224</v>
      </c>
      <c r="C31" s="16">
        <f>443520*1.2</f>
        <v>532224</v>
      </c>
      <c r="D31" s="16">
        <f>443520*1.2</f>
        <v>532224</v>
      </c>
      <c r="E31" s="16">
        <f>443520*1.2</f>
        <v>532224</v>
      </c>
      <c r="F31" s="16">
        <f>443520*1.2</f>
        <v>532224</v>
      </c>
      <c r="G31" s="16">
        <f>443520*2*1.2</f>
        <v>1064448</v>
      </c>
      <c r="H31" s="16">
        <f aca="true" t="shared" si="6" ref="H31:M31">443520*2*1.2</f>
        <v>1064448</v>
      </c>
      <c r="I31" s="16">
        <f t="shared" si="6"/>
        <v>1064448</v>
      </c>
      <c r="J31" s="16">
        <f t="shared" si="6"/>
        <v>1064448</v>
      </c>
      <c r="K31" s="16">
        <f t="shared" si="6"/>
        <v>1064448</v>
      </c>
      <c r="L31" s="16">
        <f t="shared" si="6"/>
        <v>1064448</v>
      </c>
      <c r="M31" s="16">
        <f t="shared" si="6"/>
        <v>1064448</v>
      </c>
      <c r="N31" s="37">
        <f t="shared" si="1"/>
        <v>10112256</v>
      </c>
      <c r="O31" s="33"/>
    </row>
    <row r="32" spans="1:15" ht="15">
      <c r="A32" s="2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7">
        <f t="shared" si="1"/>
        <v>0</v>
      </c>
      <c r="O32" s="33"/>
    </row>
    <row r="33" spans="1:15" ht="15">
      <c r="A33" s="23" t="s">
        <v>78</v>
      </c>
      <c r="B33" s="25">
        <f aca="true" t="shared" si="7" ref="B33:M33">SUM(B7:B32)</f>
        <v>7159105</v>
      </c>
      <c r="C33" s="25">
        <f t="shared" si="7"/>
        <v>4238082</v>
      </c>
      <c r="D33" s="25">
        <f t="shared" si="7"/>
        <v>4707976</v>
      </c>
      <c r="E33" s="25">
        <f t="shared" si="7"/>
        <v>14322342</v>
      </c>
      <c r="F33" s="25">
        <f t="shared" si="7"/>
        <v>13511555</v>
      </c>
      <c r="G33" s="25">
        <f t="shared" si="7"/>
        <v>11932793.4</v>
      </c>
      <c r="H33" s="25">
        <f t="shared" si="7"/>
        <v>10095527</v>
      </c>
      <c r="I33" s="25">
        <f t="shared" si="7"/>
        <v>9325819</v>
      </c>
      <c r="J33" s="25">
        <f t="shared" si="7"/>
        <v>9350819</v>
      </c>
      <c r="K33" s="25">
        <f t="shared" si="7"/>
        <v>14710516</v>
      </c>
      <c r="L33" s="25">
        <f t="shared" si="7"/>
        <v>14043779</v>
      </c>
      <c r="M33" s="25">
        <f t="shared" si="7"/>
        <v>4755306</v>
      </c>
      <c r="N33" s="38">
        <f>SUM(B33:M33)</f>
        <v>118153619.4</v>
      </c>
      <c r="O33" s="33"/>
    </row>
    <row r="34" spans="14:15" ht="15">
      <c r="N34" s="35"/>
      <c r="O34" s="19"/>
    </row>
    <row r="35" spans="1:15" ht="15">
      <c r="A35" s="34" t="s">
        <v>80</v>
      </c>
      <c r="B35" s="16">
        <f>135*B1</f>
        <v>0</v>
      </c>
      <c r="C35" s="16">
        <f aca="true" t="shared" si="8" ref="C35:M35">135*C1</f>
        <v>925695</v>
      </c>
      <c r="D35" s="16">
        <f t="shared" si="8"/>
        <v>1851525</v>
      </c>
      <c r="E35" s="16">
        <f t="shared" si="8"/>
        <v>30087180</v>
      </c>
      <c r="F35" s="16">
        <f t="shared" si="8"/>
        <v>30087180</v>
      </c>
      <c r="G35" s="16">
        <f t="shared" si="8"/>
        <v>15274980</v>
      </c>
      <c r="H35" s="16">
        <f t="shared" si="8"/>
        <v>15274980</v>
      </c>
      <c r="I35" s="16">
        <f t="shared" si="8"/>
        <v>15274980</v>
      </c>
      <c r="J35" s="16">
        <f t="shared" si="8"/>
        <v>15274980</v>
      </c>
      <c r="K35" s="16">
        <f t="shared" si="8"/>
        <v>30087180</v>
      </c>
      <c r="L35" s="16">
        <f t="shared" si="8"/>
        <v>30087180</v>
      </c>
      <c r="M35" s="16">
        <f t="shared" si="8"/>
        <v>925695</v>
      </c>
      <c r="N35" s="25">
        <f>SUM(B35:M35)</f>
        <v>185151555</v>
      </c>
      <c r="O35" s="16"/>
    </row>
    <row r="39" ht="15">
      <c r="N39" s="4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D1" sqref="C1:M1"/>
    </sheetView>
  </sheetViews>
  <sheetFormatPr defaultColWidth="9.140625" defaultRowHeight="15"/>
  <cols>
    <col min="1" max="1" width="36.28125" style="0" customWidth="1"/>
    <col min="3" max="4" width="9.28125" style="0" bestFit="1" customWidth="1"/>
    <col min="5" max="12" width="9.57421875" style="0" bestFit="1" customWidth="1"/>
    <col min="13" max="13" width="9.28125" style="0" bestFit="1" customWidth="1"/>
    <col min="14" max="14" width="14.8515625" style="0" customWidth="1"/>
  </cols>
  <sheetData>
    <row r="1" spans="2:15" ht="15.75" thickBot="1">
      <c r="B1" s="20">
        <f>'2015'!B1*1.61</f>
        <v>0</v>
      </c>
      <c r="C1" s="21">
        <v>11041</v>
      </c>
      <c r="D1" s="21">
        <v>22081</v>
      </c>
      <c r="E1" s="21">
        <v>358817</v>
      </c>
      <c r="F1" s="21">
        <v>358817</v>
      </c>
      <c r="G1" s="21">
        <v>182169</v>
      </c>
      <c r="H1" s="21">
        <v>182169</v>
      </c>
      <c r="I1" s="21">
        <v>182169</v>
      </c>
      <c r="J1" s="21">
        <v>182169</v>
      </c>
      <c r="K1" s="21">
        <v>358817</v>
      </c>
      <c r="L1" s="21">
        <v>358817</v>
      </c>
      <c r="M1" s="21">
        <v>11041</v>
      </c>
      <c r="N1" s="17"/>
      <c r="O1" s="17"/>
    </row>
    <row r="4" ht="15">
      <c r="A4" s="18"/>
    </row>
    <row r="5" spans="1:15" ht="25.5">
      <c r="A5" s="30"/>
      <c r="B5" s="23" t="s">
        <v>64</v>
      </c>
      <c r="C5" s="23" t="s">
        <v>65</v>
      </c>
      <c r="D5" s="23" t="s">
        <v>66</v>
      </c>
      <c r="E5" s="23" t="s">
        <v>67</v>
      </c>
      <c r="F5" s="23" t="s">
        <v>68</v>
      </c>
      <c r="G5" s="23" t="s">
        <v>69</v>
      </c>
      <c r="H5" s="23" t="s">
        <v>70</v>
      </c>
      <c r="I5" s="23" t="s">
        <v>71</v>
      </c>
      <c r="J5" s="23" t="s">
        <v>72</v>
      </c>
      <c r="K5" s="23" t="s">
        <v>73</v>
      </c>
      <c r="L5" s="23" t="s">
        <v>74</v>
      </c>
      <c r="M5" s="23" t="s">
        <v>75</v>
      </c>
      <c r="N5" s="23" t="s">
        <v>28</v>
      </c>
      <c r="O5" s="23" t="s">
        <v>76</v>
      </c>
    </row>
    <row r="6" spans="1:15" ht="15">
      <c r="A6" s="23" t="s">
        <v>77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31"/>
    </row>
    <row r="7" spans="1:15" ht="15">
      <c r="A7" s="26" t="s">
        <v>103</v>
      </c>
      <c r="B7" s="16">
        <v>160000</v>
      </c>
      <c r="C7" s="16">
        <v>160000</v>
      </c>
      <c r="D7" s="16">
        <v>160000</v>
      </c>
      <c r="E7" s="16">
        <v>160000</v>
      </c>
      <c r="F7" s="16">
        <v>170000</v>
      </c>
      <c r="G7" s="16">
        <v>170000</v>
      </c>
      <c r="H7" s="16">
        <v>170000</v>
      </c>
      <c r="I7" s="16">
        <v>170000</v>
      </c>
      <c r="J7" s="16">
        <v>170000</v>
      </c>
      <c r="K7" s="16">
        <v>170000</v>
      </c>
      <c r="L7" s="16">
        <v>170000</v>
      </c>
      <c r="M7" s="16">
        <v>170000</v>
      </c>
      <c r="N7" s="37">
        <f>SUM(B7:M7)</f>
        <v>2000000</v>
      </c>
      <c r="O7" s="31"/>
    </row>
    <row r="8" spans="1:15" ht="15">
      <c r="A8" s="26" t="s">
        <v>3</v>
      </c>
      <c r="B8" s="16"/>
      <c r="C8" s="17">
        <f>6*C1</f>
        <v>66246</v>
      </c>
      <c r="D8" s="17">
        <f aca="true" t="shared" si="0" ref="D8:M8">6*D1</f>
        <v>132486</v>
      </c>
      <c r="E8" s="17">
        <f t="shared" si="0"/>
        <v>2152902</v>
      </c>
      <c r="F8" s="17">
        <f t="shared" si="0"/>
        <v>2152902</v>
      </c>
      <c r="G8" s="17">
        <f t="shared" si="0"/>
        <v>1093014</v>
      </c>
      <c r="H8" s="17">
        <f t="shared" si="0"/>
        <v>1093014</v>
      </c>
      <c r="I8" s="17">
        <f t="shared" si="0"/>
        <v>1093014</v>
      </c>
      <c r="J8" s="17">
        <f t="shared" si="0"/>
        <v>1093014</v>
      </c>
      <c r="K8" s="17">
        <f t="shared" si="0"/>
        <v>2152902</v>
      </c>
      <c r="L8" s="17">
        <f t="shared" si="0"/>
        <v>2152902</v>
      </c>
      <c r="M8" s="17">
        <f t="shared" si="0"/>
        <v>66246</v>
      </c>
      <c r="N8" s="37">
        <f>SUM(B8:M8)</f>
        <v>13248642</v>
      </c>
      <c r="O8" s="32"/>
    </row>
    <row r="9" spans="1:15" ht="24">
      <c r="A9" s="26" t="s">
        <v>5</v>
      </c>
      <c r="B9" s="16">
        <v>1666667</v>
      </c>
      <c r="C9" s="16">
        <v>1666667</v>
      </c>
      <c r="D9" s="16">
        <v>1666667</v>
      </c>
      <c r="E9" s="16">
        <v>1666667</v>
      </c>
      <c r="F9" s="16">
        <v>1666667</v>
      </c>
      <c r="G9" s="16">
        <v>1666667</v>
      </c>
      <c r="H9" s="16">
        <v>1666667</v>
      </c>
      <c r="I9" s="16">
        <v>1666667</v>
      </c>
      <c r="J9" s="16">
        <v>1666667</v>
      </c>
      <c r="K9" s="16">
        <v>1666667</v>
      </c>
      <c r="L9" s="16">
        <v>1666667</v>
      </c>
      <c r="M9" s="16">
        <v>1666667</v>
      </c>
      <c r="N9" s="37">
        <f aca="true" t="shared" si="1" ref="N9:N32">SUM(B9:M9)</f>
        <v>20000004</v>
      </c>
      <c r="O9" s="33" t="s">
        <v>166</v>
      </c>
    </row>
    <row r="10" spans="1:15" ht="15">
      <c r="A10" s="27" t="s">
        <v>6</v>
      </c>
      <c r="B10" s="16">
        <v>250000</v>
      </c>
      <c r="C10" s="16">
        <v>250000</v>
      </c>
      <c r="D10" s="16">
        <v>250000</v>
      </c>
      <c r="E10" s="16">
        <v>250000</v>
      </c>
      <c r="F10" s="16">
        <v>250000</v>
      </c>
      <c r="G10" s="16">
        <v>250000</v>
      </c>
      <c r="H10" s="16">
        <v>250000</v>
      </c>
      <c r="I10" s="16">
        <v>250000</v>
      </c>
      <c r="J10" s="16">
        <v>250000</v>
      </c>
      <c r="K10" s="16">
        <v>250000</v>
      </c>
      <c r="L10" s="16">
        <v>250000</v>
      </c>
      <c r="M10" s="16">
        <v>250000</v>
      </c>
      <c r="N10" s="37">
        <f t="shared" si="1"/>
        <v>3000000</v>
      </c>
      <c r="O10" s="33"/>
    </row>
    <row r="11" spans="1:15" ht="15">
      <c r="A11" s="28" t="s">
        <v>7</v>
      </c>
      <c r="B11" s="16">
        <v>7500</v>
      </c>
      <c r="C11" s="16">
        <v>7500</v>
      </c>
      <c r="D11" s="16">
        <v>7500</v>
      </c>
      <c r="E11" s="16">
        <v>7500</v>
      </c>
      <c r="F11" s="16">
        <v>7500</v>
      </c>
      <c r="G11" s="16">
        <v>7500</v>
      </c>
      <c r="H11" s="16">
        <v>7500</v>
      </c>
      <c r="I11" s="16">
        <v>7500</v>
      </c>
      <c r="J11" s="16">
        <v>7500</v>
      </c>
      <c r="K11" s="16">
        <v>7500</v>
      </c>
      <c r="L11" s="16">
        <v>7500</v>
      </c>
      <c r="M11" s="16">
        <v>7500</v>
      </c>
      <c r="N11" s="37">
        <f t="shared" si="1"/>
        <v>90000</v>
      </c>
      <c r="O11" s="33"/>
    </row>
    <row r="12" spans="1:15" ht="24">
      <c r="A12" s="28" t="s">
        <v>8</v>
      </c>
      <c r="B12" s="16">
        <v>6000</v>
      </c>
      <c r="C12" s="16">
        <v>6000</v>
      </c>
      <c r="D12" s="16">
        <v>6000</v>
      </c>
      <c r="E12" s="16">
        <v>6000</v>
      </c>
      <c r="F12" s="16">
        <v>6000</v>
      </c>
      <c r="G12" s="16">
        <v>6000</v>
      </c>
      <c r="H12" s="16">
        <v>6000</v>
      </c>
      <c r="I12" s="16">
        <v>6000</v>
      </c>
      <c r="J12" s="16">
        <v>6000</v>
      </c>
      <c r="K12" s="16">
        <v>6000</v>
      </c>
      <c r="L12" s="16">
        <v>6000</v>
      </c>
      <c r="M12" s="16">
        <v>6000</v>
      </c>
      <c r="N12" s="37">
        <f t="shared" si="1"/>
        <v>72000</v>
      </c>
      <c r="O12" s="33"/>
    </row>
    <row r="13" spans="1:15" ht="15">
      <c r="A13" s="26" t="s">
        <v>151</v>
      </c>
      <c r="B13" s="16"/>
      <c r="C13" s="16"/>
      <c r="D13" s="16">
        <v>200000</v>
      </c>
      <c r="E13" s="16"/>
      <c r="F13" s="16"/>
      <c r="G13" s="16"/>
      <c r="H13" s="16"/>
      <c r="I13" s="16"/>
      <c r="J13" s="16"/>
      <c r="K13" s="16"/>
      <c r="L13" s="16"/>
      <c r="M13" s="16"/>
      <c r="N13" s="37">
        <f t="shared" si="1"/>
        <v>200000</v>
      </c>
      <c r="O13" s="33"/>
    </row>
    <row r="14" spans="1:15" ht="15">
      <c r="A14" s="26" t="s">
        <v>79</v>
      </c>
      <c r="B14" s="29">
        <v>40000</v>
      </c>
      <c r="C14" s="16"/>
      <c r="D14" s="16"/>
      <c r="E14" s="29">
        <v>10000</v>
      </c>
      <c r="F14" s="16"/>
      <c r="G14" s="16"/>
      <c r="H14" s="29">
        <v>40000</v>
      </c>
      <c r="I14" s="16"/>
      <c r="J14" s="16"/>
      <c r="K14" s="29">
        <v>10000</v>
      </c>
      <c r="L14" s="16"/>
      <c r="M14" s="16"/>
      <c r="N14" s="37">
        <f t="shared" si="1"/>
        <v>100000</v>
      </c>
      <c r="O14" s="33"/>
    </row>
    <row r="15" spans="1:15" ht="15">
      <c r="A15" s="26" t="s">
        <v>11</v>
      </c>
      <c r="B15" s="16">
        <v>3500</v>
      </c>
      <c r="C15" s="16">
        <v>3500</v>
      </c>
      <c r="D15" s="16">
        <v>3500</v>
      </c>
      <c r="E15" s="16">
        <v>3500</v>
      </c>
      <c r="F15" s="16">
        <v>3500</v>
      </c>
      <c r="G15" s="16">
        <v>3500</v>
      </c>
      <c r="H15" s="16">
        <v>3500</v>
      </c>
      <c r="I15" s="16">
        <v>3500</v>
      </c>
      <c r="J15" s="16">
        <v>3500</v>
      </c>
      <c r="K15" s="16">
        <v>3500</v>
      </c>
      <c r="L15" s="16">
        <v>3500</v>
      </c>
      <c r="M15" s="16">
        <v>3500</v>
      </c>
      <c r="N15" s="37">
        <f t="shared" si="1"/>
        <v>42000</v>
      </c>
      <c r="O15" s="33"/>
    </row>
    <row r="16" spans="1:15" ht="15">
      <c r="A16" s="26" t="s">
        <v>12</v>
      </c>
      <c r="B16" s="16">
        <v>591063</v>
      </c>
      <c r="C16" s="16"/>
      <c r="D16" s="16"/>
      <c r="E16" s="16">
        <v>531957</v>
      </c>
      <c r="F16" s="16"/>
      <c r="G16" s="16"/>
      <c r="H16" s="16">
        <v>478761</v>
      </c>
      <c r="I16" s="16"/>
      <c r="J16" s="16"/>
      <c r="K16" s="16">
        <v>430885</v>
      </c>
      <c r="L16" s="16"/>
      <c r="M16" s="16"/>
      <c r="N16" s="37">
        <f t="shared" si="1"/>
        <v>2032666</v>
      </c>
      <c r="O16" s="33"/>
    </row>
    <row r="17" spans="1:15" ht="24">
      <c r="A17" s="26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7">
        <f t="shared" si="1"/>
        <v>0</v>
      </c>
      <c r="O17" s="33"/>
    </row>
    <row r="18" spans="1:15" ht="15">
      <c r="A18" s="36" t="s">
        <v>81</v>
      </c>
      <c r="B18" s="16">
        <v>1372600</v>
      </c>
      <c r="C18" s="16">
        <v>1372600</v>
      </c>
      <c r="D18" s="16">
        <v>1372600</v>
      </c>
      <c r="E18" s="16">
        <v>1372600</v>
      </c>
      <c r="F18" s="16">
        <v>1372600</v>
      </c>
      <c r="G18" s="16">
        <v>1372600</v>
      </c>
      <c r="H18" s="16">
        <v>1372600</v>
      </c>
      <c r="I18" s="16">
        <v>1372600</v>
      </c>
      <c r="J18" s="16">
        <v>1372600</v>
      </c>
      <c r="K18" s="16">
        <v>1372600</v>
      </c>
      <c r="L18" s="16">
        <v>1372600</v>
      </c>
      <c r="M18" s="16">
        <v>1372600</v>
      </c>
      <c r="N18" s="37">
        <f>SUM(B18:M18)</f>
        <v>16471200</v>
      </c>
      <c r="O18" s="33"/>
    </row>
    <row r="19" spans="1:15" ht="15">
      <c r="A19" s="26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7">
        <f t="shared" si="1"/>
        <v>0</v>
      </c>
      <c r="O19" s="33"/>
    </row>
    <row r="20" spans="1:15" ht="15">
      <c r="A20" s="2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7">
        <f t="shared" si="1"/>
        <v>0</v>
      </c>
      <c r="O20" s="33"/>
    </row>
    <row r="21" spans="1:15" ht="15">
      <c r="A21" s="26" t="s">
        <v>16</v>
      </c>
      <c r="B21" s="16"/>
      <c r="C21" s="16">
        <v>25000</v>
      </c>
      <c r="D21" s="16"/>
      <c r="E21" s="16"/>
      <c r="F21" s="16"/>
      <c r="G21" s="16"/>
      <c r="H21" s="16"/>
      <c r="I21" s="16"/>
      <c r="J21" s="16">
        <v>25000</v>
      </c>
      <c r="K21" s="16"/>
      <c r="L21" s="16"/>
      <c r="M21" s="16"/>
      <c r="N21" s="37">
        <f t="shared" si="1"/>
        <v>50000</v>
      </c>
      <c r="O21" s="33"/>
    </row>
    <row r="22" spans="1:15" ht="15">
      <c r="A22" s="26" t="s">
        <v>17</v>
      </c>
      <c r="B22" s="16">
        <f>40000*1.1</f>
        <v>44000</v>
      </c>
      <c r="C22" s="16">
        <f aca="true" t="shared" si="2" ref="C22:M22">40000*1.1</f>
        <v>44000</v>
      </c>
      <c r="D22" s="16">
        <f t="shared" si="2"/>
        <v>44000</v>
      </c>
      <c r="E22" s="16">
        <f t="shared" si="2"/>
        <v>44000</v>
      </c>
      <c r="F22" s="16">
        <f t="shared" si="2"/>
        <v>44000</v>
      </c>
      <c r="G22" s="16">
        <f t="shared" si="2"/>
        <v>44000</v>
      </c>
      <c r="H22" s="16">
        <f t="shared" si="2"/>
        <v>44000</v>
      </c>
      <c r="I22" s="16">
        <f t="shared" si="2"/>
        <v>44000</v>
      </c>
      <c r="J22" s="16">
        <f t="shared" si="2"/>
        <v>44000</v>
      </c>
      <c r="K22" s="16">
        <f t="shared" si="2"/>
        <v>44000</v>
      </c>
      <c r="L22" s="16">
        <f t="shared" si="2"/>
        <v>44000</v>
      </c>
      <c r="M22" s="16">
        <f t="shared" si="2"/>
        <v>44000</v>
      </c>
      <c r="N22" s="37">
        <f t="shared" si="1"/>
        <v>528000</v>
      </c>
      <c r="O22" s="33"/>
    </row>
    <row r="23" spans="1:15" ht="15">
      <c r="A23" s="26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7">
        <f t="shared" si="1"/>
        <v>0</v>
      </c>
      <c r="O23" s="33"/>
    </row>
    <row r="24" spans="1:15" ht="33.75">
      <c r="A24" s="26" t="s">
        <v>2</v>
      </c>
      <c r="B24" s="16"/>
      <c r="C24" s="16"/>
      <c r="D24" s="16"/>
      <c r="E24" s="16"/>
      <c r="F24" s="16"/>
      <c r="G24" s="16">
        <v>200000</v>
      </c>
      <c r="H24" s="16"/>
      <c r="I24" s="16"/>
      <c r="J24" s="16"/>
      <c r="K24" s="16"/>
      <c r="L24" s="16"/>
      <c r="M24" s="16"/>
      <c r="N24" s="37">
        <f t="shared" si="1"/>
        <v>200000</v>
      </c>
      <c r="O24" s="33" t="s">
        <v>165</v>
      </c>
    </row>
    <row r="25" spans="1:15" ht="24">
      <c r="A25" s="26" t="s">
        <v>19</v>
      </c>
      <c r="B25" s="16">
        <v>8000</v>
      </c>
      <c r="C25" s="16">
        <v>8000</v>
      </c>
      <c r="D25" s="16">
        <v>8000</v>
      </c>
      <c r="E25" s="16">
        <v>8000</v>
      </c>
      <c r="F25" s="16">
        <v>8000</v>
      </c>
      <c r="G25" s="16">
        <v>8000</v>
      </c>
      <c r="H25" s="16">
        <v>8000</v>
      </c>
      <c r="I25" s="16">
        <v>8000</v>
      </c>
      <c r="J25" s="16">
        <v>8000</v>
      </c>
      <c r="K25" s="16">
        <v>8000</v>
      </c>
      <c r="L25" s="16">
        <v>8000</v>
      </c>
      <c r="M25" s="16">
        <v>8000</v>
      </c>
      <c r="N25" s="37">
        <f t="shared" si="1"/>
        <v>96000</v>
      </c>
      <c r="O25" s="33"/>
    </row>
    <row r="26" spans="1:15" ht="15">
      <c r="A26" s="26" t="s">
        <v>53</v>
      </c>
      <c r="B26" s="16">
        <v>2300000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7">
        <f t="shared" si="1"/>
        <v>2300000</v>
      </c>
      <c r="O26" s="33"/>
    </row>
    <row r="27" spans="1:15" ht="15">
      <c r="A27" s="26" t="s">
        <v>54</v>
      </c>
      <c r="B27" s="16"/>
      <c r="C27" s="16"/>
      <c r="D27" s="16"/>
      <c r="E27" s="16"/>
      <c r="F27" s="16"/>
      <c r="G27" s="16">
        <f>0.08*F35</f>
        <v>3875223.6</v>
      </c>
      <c r="H27" s="16"/>
      <c r="I27" s="16"/>
      <c r="J27" s="16"/>
      <c r="K27" s="16"/>
      <c r="L27" s="16"/>
      <c r="M27" s="16"/>
      <c r="N27" s="37">
        <f t="shared" si="1"/>
        <v>3875223.6</v>
      </c>
      <c r="O27" s="33"/>
    </row>
    <row r="28" spans="1:15" ht="15">
      <c r="A28" s="26" t="s">
        <v>20</v>
      </c>
      <c r="B28" s="16">
        <f>37.5*B1</f>
        <v>0</v>
      </c>
      <c r="C28" s="16">
        <f aca="true" t="shared" si="3" ref="C28:M28">37.5*C1</f>
        <v>414037.5</v>
      </c>
      <c r="D28" s="16">
        <f t="shared" si="3"/>
        <v>828037.5</v>
      </c>
      <c r="E28" s="16">
        <f t="shared" si="3"/>
        <v>13455637.5</v>
      </c>
      <c r="F28" s="16">
        <f t="shared" si="3"/>
        <v>13455637.5</v>
      </c>
      <c r="G28" s="16">
        <f t="shared" si="3"/>
        <v>6831337.5</v>
      </c>
      <c r="H28" s="16">
        <f t="shared" si="3"/>
        <v>6831337.5</v>
      </c>
      <c r="I28" s="16">
        <f t="shared" si="3"/>
        <v>6831337.5</v>
      </c>
      <c r="J28" s="16">
        <f t="shared" si="3"/>
        <v>6831337.5</v>
      </c>
      <c r="K28" s="16">
        <f t="shared" si="3"/>
        <v>13455637.5</v>
      </c>
      <c r="L28" s="16">
        <f t="shared" si="3"/>
        <v>13455637.5</v>
      </c>
      <c r="M28" s="16">
        <f t="shared" si="3"/>
        <v>414037.5</v>
      </c>
      <c r="N28" s="37">
        <f t="shared" si="1"/>
        <v>82804012.5</v>
      </c>
      <c r="O28" s="33"/>
    </row>
    <row r="29" spans="1:15" ht="24">
      <c r="A29" s="26" t="s">
        <v>21</v>
      </c>
      <c r="B29" s="16">
        <v>12000</v>
      </c>
      <c r="C29" s="16">
        <v>12000</v>
      </c>
      <c r="D29" s="16">
        <v>12000</v>
      </c>
      <c r="E29" s="16">
        <v>12000</v>
      </c>
      <c r="F29" s="16">
        <v>12000</v>
      </c>
      <c r="G29" s="16">
        <v>12000</v>
      </c>
      <c r="H29" s="16">
        <v>12000</v>
      </c>
      <c r="I29" s="16">
        <v>12000</v>
      </c>
      <c r="J29" s="16">
        <v>12000</v>
      </c>
      <c r="K29" s="16">
        <v>12000</v>
      </c>
      <c r="L29" s="16">
        <v>12000</v>
      </c>
      <c r="M29" s="16">
        <v>12000</v>
      </c>
      <c r="N29" s="37">
        <f t="shared" si="1"/>
        <v>144000</v>
      </c>
      <c r="O29" s="33"/>
    </row>
    <row r="30" spans="1:15" ht="15">
      <c r="A30" s="26" t="s">
        <v>22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7">
        <f t="shared" si="1"/>
        <v>0</v>
      </c>
      <c r="O30" s="33"/>
    </row>
    <row r="31" spans="1:15" ht="15">
      <c r="A31" s="26" t="s">
        <v>23</v>
      </c>
      <c r="B31" s="16">
        <v>638668</v>
      </c>
      <c r="C31" s="16">
        <v>638668</v>
      </c>
      <c r="D31" s="16">
        <v>638668</v>
      </c>
      <c r="E31" s="16">
        <v>638668</v>
      </c>
      <c r="F31" s="16">
        <v>638668</v>
      </c>
      <c r="G31" s="16">
        <f>F31*2</f>
        <v>1277336</v>
      </c>
      <c r="H31" s="16">
        <f>F31*2</f>
        <v>1277336</v>
      </c>
      <c r="I31" s="16">
        <f>F31*2</f>
        <v>1277336</v>
      </c>
      <c r="J31" s="16">
        <f>F31*2</f>
        <v>1277336</v>
      </c>
      <c r="K31" s="16">
        <f>F31*2</f>
        <v>1277336</v>
      </c>
      <c r="L31" s="16">
        <f>F31*2</f>
        <v>1277336</v>
      </c>
      <c r="M31" s="16">
        <f>F31*2</f>
        <v>1277336</v>
      </c>
      <c r="N31" s="37">
        <f t="shared" si="1"/>
        <v>12134692</v>
      </c>
      <c r="O31" s="33"/>
    </row>
    <row r="32" spans="1:15" ht="15">
      <c r="A32" s="2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7">
        <f t="shared" si="1"/>
        <v>0</v>
      </c>
      <c r="O32" s="33"/>
    </row>
    <row r="33" spans="1:15" ht="15">
      <c r="A33" s="23" t="s">
        <v>78</v>
      </c>
      <c r="B33" s="25">
        <f aca="true" t="shared" si="4" ref="B33:M33">SUM(B7:B32)</f>
        <v>7099998</v>
      </c>
      <c r="C33" s="25">
        <f t="shared" si="4"/>
        <v>4674218.5</v>
      </c>
      <c r="D33" s="25">
        <f t="shared" si="4"/>
        <v>5329458.5</v>
      </c>
      <c r="E33" s="25">
        <f t="shared" si="4"/>
        <v>20319431.5</v>
      </c>
      <c r="F33" s="25">
        <f t="shared" si="4"/>
        <v>19787474.5</v>
      </c>
      <c r="G33" s="25">
        <f t="shared" si="4"/>
        <v>16817178.1</v>
      </c>
      <c r="H33" s="25">
        <f t="shared" si="4"/>
        <v>13260715.5</v>
      </c>
      <c r="I33" s="25">
        <f t="shared" si="4"/>
        <v>12741954.5</v>
      </c>
      <c r="J33" s="25">
        <f t="shared" si="4"/>
        <v>12766954.5</v>
      </c>
      <c r="K33" s="25">
        <f t="shared" si="4"/>
        <v>20867027.5</v>
      </c>
      <c r="L33" s="25">
        <f t="shared" si="4"/>
        <v>20426142.5</v>
      </c>
      <c r="M33" s="25">
        <f t="shared" si="4"/>
        <v>5297886.5</v>
      </c>
      <c r="N33" s="38">
        <f>SUM(B33:M33)</f>
        <v>159388440.1</v>
      </c>
      <c r="O33" s="33"/>
    </row>
    <row r="34" spans="14:15" ht="15">
      <c r="N34" s="39"/>
      <c r="O34" s="19"/>
    </row>
    <row r="35" spans="1:15" ht="15">
      <c r="A35" s="34" t="s">
        <v>80</v>
      </c>
      <c r="B35" s="16">
        <f>135*B1</f>
        <v>0</v>
      </c>
      <c r="C35" s="16">
        <f aca="true" t="shared" si="5" ref="C35:M35">135*C1</f>
        <v>1490535</v>
      </c>
      <c r="D35" s="16">
        <f t="shared" si="5"/>
        <v>2980935</v>
      </c>
      <c r="E35" s="16">
        <f t="shared" si="5"/>
        <v>48440295</v>
      </c>
      <c r="F35" s="16">
        <f t="shared" si="5"/>
        <v>48440295</v>
      </c>
      <c r="G35" s="16">
        <f t="shared" si="5"/>
        <v>24592815</v>
      </c>
      <c r="H35" s="16">
        <f t="shared" si="5"/>
        <v>24592815</v>
      </c>
      <c r="I35" s="16">
        <f t="shared" si="5"/>
        <v>24592815</v>
      </c>
      <c r="J35" s="16">
        <f t="shared" si="5"/>
        <v>24592815</v>
      </c>
      <c r="K35" s="16">
        <f t="shared" si="5"/>
        <v>48440295</v>
      </c>
      <c r="L35" s="16">
        <f t="shared" si="5"/>
        <v>48440295</v>
      </c>
      <c r="M35" s="16">
        <f t="shared" si="5"/>
        <v>1490535</v>
      </c>
      <c r="N35" s="38">
        <f>SUM(B35:M35)</f>
        <v>298094445</v>
      </c>
      <c r="O35" s="16"/>
    </row>
    <row r="41" ht="15">
      <c r="B41">
        <f>532224*1.2</f>
        <v>638668.7999999999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P40"/>
  <sheetViews>
    <sheetView view="pageBreakPreview" zoomScaleSheetLayoutView="100" zoomScalePageLayoutView="0" workbookViewId="0" topLeftCell="P1">
      <selection activeCell="S22" sqref="S22"/>
    </sheetView>
  </sheetViews>
  <sheetFormatPr defaultColWidth="41.140625" defaultRowHeight="15"/>
  <cols>
    <col min="1" max="1" width="41.140625" style="106" customWidth="1"/>
    <col min="2" max="20" width="15.7109375" style="106" customWidth="1"/>
    <col min="21" max="16384" width="41.140625" style="58" customWidth="1"/>
  </cols>
  <sheetData>
    <row r="1" ht="11.25"/>
    <row r="2" spans="1:20" ht="22.5">
      <c r="A2" s="55" t="s">
        <v>82</v>
      </c>
      <c r="B2" s="56">
        <v>41640</v>
      </c>
      <c r="C2" s="56">
        <v>41671</v>
      </c>
      <c r="D2" s="56">
        <v>41699</v>
      </c>
      <c r="E2" s="57" t="s">
        <v>83</v>
      </c>
      <c r="F2" s="56">
        <v>41730</v>
      </c>
      <c r="G2" s="56">
        <v>41760</v>
      </c>
      <c r="H2" s="56">
        <v>41791</v>
      </c>
      <c r="I2" s="57" t="s">
        <v>84</v>
      </c>
      <c r="J2" s="57" t="s">
        <v>85</v>
      </c>
      <c r="K2" s="56">
        <v>41821</v>
      </c>
      <c r="L2" s="56">
        <v>41852</v>
      </c>
      <c r="M2" s="56">
        <v>41883</v>
      </c>
      <c r="N2" s="57" t="s">
        <v>86</v>
      </c>
      <c r="O2" s="57" t="s">
        <v>87</v>
      </c>
      <c r="P2" s="56">
        <v>41913</v>
      </c>
      <c r="Q2" s="56">
        <v>41944</v>
      </c>
      <c r="R2" s="56">
        <v>41974</v>
      </c>
      <c r="S2" s="57" t="s">
        <v>88</v>
      </c>
      <c r="T2" s="57" t="s">
        <v>89</v>
      </c>
    </row>
    <row r="3" spans="1:20" ht="11.25">
      <c r="A3" s="59" t="s">
        <v>90</v>
      </c>
      <c r="B3" s="60">
        <f>B4</f>
        <v>0</v>
      </c>
      <c r="C3" s="60">
        <f>C4</f>
        <v>0</v>
      </c>
      <c r="D3" s="60">
        <f>D4</f>
        <v>0</v>
      </c>
      <c r="E3" s="60">
        <f>SUM(B3:D3)</f>
        <v>0</v>
      </c>
      <c r="F3" s="60">
        <f>F4</f>
        <v>0</v>
      </c>
      <c r="G3" s="60">
        <f>G4</f>
        <v>10545989.42592</v>
      </c>
      <c r="H3" s="60">
        <f>H4</f>
        <v>13520499.264000002</v>
      </c>
      <c r="I3" s="60">
        <f>SUM(F3:H3)</f>
        <v>24066488.68992</v>
      </c>
      <c r="J3" s="60">
        <f>I3+E3</f>
        <v>24066488.68992</v>
      </c>
      <c r="K3" s="60">
        <f>K4</f>
        <v>12979679.293440003</v>
      </c>
      <c r="L3" s="60">
        <f>L4</f>
        <v>15075356.679360002</v>
      </c>
      <c r="M3" s="60">
        <f>M4</f>
        <v>20348351.392320003</v>
      </c>
      <c r="N3" s="60">
        <f>SUM(K3:M3)</f>
        <v>48403387.36512001</v>
      </c>
      <c r="O3" s="60">
        <f>N3+J3</f>
        <v>72469876.05504</v>
      </c>
      <c r="P3" s="60">
        <f>P4</f>
        <v>17576649.0432</v>
      </c>
      <c r="Q3" s="60">
        <f>Q4</f>
        <v>17576649.0432</v>
      </c>
      <c r="R3" s="60">
        <f>R4</f>
        <v>540819.97056</v>
      </c>
      <c r="S3" s="60">
        <f>SUM(P3:R3)</f>
        <v>35694118.05696</v>
      </c>
      <c r="T3" s="61">
        <f>SUM(T4:T5)</f>
        <v>108163994.112</v>
      </c>
    </row>
    <row r="4" spans="1:20" s="65" customFormat="1" ht="11.25">
      <c r="A4" s="62" t="s">
        <v>91</v>
      </c>
      <c r="B4" s="63">
        <f>'2014'!B35</f>
        <v>0</v>
      </c>
      <c r="C4" s="63">
        <v>0</v>
      </c>
      <c r="D4" s="63">
        <v>0</v>
      </c>
      <c r="E4" s="63">
        <f>SUM(B4:D4)</f>
        <v>0</v>
      </c>
      <c r="F4" s="63">
        <v>0</v>
      </c>
      <c r="G4" s="63">
        <f>'2014'!F35*60%</f>
        <v>10545989.42592</v>
      </c>
      <c r="H4" s="63">
        <f>'2014'!G35+'2014'!D35*50%+'2014'!C35+'2014'!F35*20%</f>
        <v>13520499.264000002</v>
      </c>
      <c r="I4" s="63">
        <f>SUM(F4:H4)</f>
        <v>24066488.68992</v>
      </c>
      <c r="J4" s="63">
        <f>I4+E4</f>
        <v>24066488.68992</v>
      </c>
      <c r="K4" s="63">
        <f>'2014'!H35+'2014'!D35*50%+'2014'!F35*20%</f>
        <v>12979679.293440003</v>
      </c>
      <c r="L4" s="63">
        <f>'2014'!I35+'2014'!E35*35%</f>
        <v>15075356.679360002</v>
      </c>
      <c r="M4" s="63">
        <f>'2014'!J35+'2014'!E35*65%</f>
        <v>20348351.392320003</v>
      </c>
      <c r="N4" s="63">
        <f>SUM(K4:M4)</f>
        <v>48403387.36512001</v>
      </c>
      <c r="O4" s="63">
        <f>N4+J4</f>
        <v>72469876.05504</v>
      </c>
      <c r="P4" s="63">
        <f>'2014'!K35</f>
        <v>17576649.0432</v>
      </c>
      <c r="Q4" s="63">
        <f>'2014'!L35</f>
        <v>17576649.0432</v>
      </c>
      <c r="R4" s="63">
        <f>'2014'!M35</f>
        <v>540819.97056</v>
      </c>
      <c r="S4" s="63">
        <f>SUM(P4:R4)</f>
        <v>35694118.05696</v>
      </c>
      <c r="T4" s="64">
        <f>S4+O4</f>
        <v>108163994.112</v>
      </c>
    </row>
    <row r="5" spans="1:20" s="65" customFormat="1" ht="11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8"/>
    </row>
    <row r="6" spans="1:20" s="65" customFormat="1" ht="11.25">
      <c r="A6" s="69" t="s">
        <v>92</v>
      </c>
      <c r="B6" s="70">
        <f aca="true" t="shared" si="0" ref="B6:T6">B7+B8+B9+B10</f>
        <v>-7613959</v>
      </c>
      <c r="C6" s="70">
        <f t="shared" si="0"/>
        <v>-4219217.13888</v>
      </c>
      <c r="D6" s="70">
        <f t="shared" si="0"/>
        <v>-4664930.8169599995</v>
      </c>
      <c r="E6" s="70">
        <f t="shared" si="0"/>
        <v>-16498106.955839999</v>
      </c>
      <c r="F6" s="70">
        <f t="shared" si="0"/>
        <v>-10781005.5136</v>
      </c>
      <c r="G6" s="70">
        <f t="shared" si="0"/>
        <v>-9567348.5136</v>
      </c>
      <c r="H6" s="70">
        <f t="shared" si="0"/>
        <v>-9092870.214976002</v>
      </c>
      <c r="I6" s="70">
        <f t="shared" si="0"/>
        <v>-29441224.242176</v>
      </c>
      <c r="J6" s="70">
        <f t="shared" si="0"/>
        <v>-45939331.198016</v>
      </c>
      <c r="K6" s="70">
        <f t="shared" si="0"/>
        <v>-8434052.291520001</v>
      </c>
      <c r="L6" s="70">
        <f t="shared" si="0"/>
        <v>-7286738.291520001</v>
      </c>
      <c r="M6" s="70">
        <f t="shared" si="0"/>
        <v>-7311738.291520001</v>
      </c>
      <c r="N6" s="70">
        <f t="shared" si="0"/>
        <v>-23032528.874560006</v>
      </c>
      <c r="O6" s="70">
        <f t="shared" si="0"/>
        <v>-68971860.07257602</v>
      </c>
      <c r="P6" s="70">
        <f t="shared" si="0"/>
        <v>-11021839.5136</v>
      </c>
      <c r="Q6" s="70">
        <f t="shared" si="0"/>
        <v>-10010868.5136</v>
      </c>
      <c r="R6" s="70">
        <f t="shared" si="0"/>
        <v>-4647737.13888</v>
      </c>
      <c r="S6" s="70">
        <f t="shared" si="0"/>
        <v>-25680445.166079998</v>
      </c>
      <c r="T6" s="70">
        <f t="shared" si="0"/>
        <v>-94652305.23865601</v>
      </c>
    </row>
    <row r="7" spans="1:20" s="65" customFormat="1" ht="11.25">
      <c r="A7" s="71" t="s">
        <v>99</v>
      </c>
      <c r="B7" s="72">
        <f>-'2014'!B18</f>
        <v>-1136000</v>
      </c>
      <c r="C7" s="72">
        <f>-'2014'!C18</f>
        <v>-1136000</v>
      </c>
      <c r="D7" s="72">
        <f>-'2014'!D18</f>
        <v>-1136000</v>
      </c>
      <c r="E7" s="72">
        <f>SUM(B7:D7)</f>
        <v>-3408000</v>
      </c>
      <c r="F7" s="72">
        <f>-'2014'!E18</f>
        <v>-1136000</v>
      </c>
      <c r="G7" s="72">
        <f>-'2014'!F18</f>
        <v>-1136000</v>
      </c>
      <c r="H7" s="72">
        <f>-'2014'!G18</f>
        <v>-1136000</v>
      </c>
      <c r="I7" s="72">
        <f>SUM(F7:H7)</f>
        <v>-3408000</v>
      </c>
      <c r="J7" s="72">
        <f>I7+E7</f>
        <v>-6816000</v>
      </c>
      <c r="K7" s="72">
        <f>-'2014'!H18</f>
        <v>-1136000</v>
      </c>
      <c r="L7" s="72">
        <f>-'2014'!I18</f>
        <v>-1136000</v>
      </c>
      <c r="M7" s="72">
        <f>-'2014'!J18</f>
        <v>-1136000</v>
      </c>
      <c r="N7" s="72">
        <f>SUM(K7:M7)</f>
        <v>-3408000</v>
      </c>
      <c r="O7" s="72">
        <f>N7+J7</f>
        <v>-10224000</v>
      </c>
      <c r="P7" s="72">
        <f>-'2014'!K18</f>
        <v>-1136000</v>
      </c>
      <c r="Q7" s="72">
        <f>-'2014'!L18</f>
        <v>-1136000</v>
      </c>
      <c r="R7" s="72">
        <f>-'2014'!M18</f>
        <v>-1136000</v>
      </c>
      <c r="S7" s="72">
        <f>SUM(P7:R7)</f>
        <v>-3408000</v>
      </c>
      <c r="T7" s="68">
        <f>S7+O7</f>
        <v>-13632000</v>
      </c>
    </row>
    <row r="8" spans="1:20" s="65" customFormat="1" ht="11.25">
      <c r="A8" s="73" t="s">
        <v>100</v>
      </c>
      <c r="B8" s="74">
        <f>B7*0.302</f>
        <v>-343072</v>
      </c>
      <c r="C8" s="74">
        <f>C7*0.302</f>
        <v>-343072</v>
      </c>
      <c r="D8" s="74">
        <f>D7*0.302</f>
        <v>-343072</v>
      </c>
      <c r="E8" s="72">
        <f>SUM(B8:D8)</f>
        <v>-1029216</v>
      </c>
      <c r="F8" s="74">
        <f>F7*0.302</f>
        <v>-343072</v>
      </c>
      <c r="G8" s="74">
        <f>G7*0.302</f>
        <v>-343072</v>
      </c>
      <c r="H8" s="74">
        <f>H7*0.302</f>
        <v>-343072</v>
      </c>
      <c r="I8" s="72">
        <f>SUM(F8:H8)</f>
        <v>-1029216</v>
      </c>
      <c r="J8" s="72">
        <f>I8+E8</f>
        <v>-2058432</v>
      </c>
      <c r="K8" s="74">
        <f>K7*0.302</f>
        <v>-343072</v>
      </c>
      <c r="L8" s="74">
        <f>L7*0.302</f>
        <v>-343072</v>
      </c>
      <c r="M8" s="74">
        <f>M7*0.302</f>
        <v>-343072</v>
      </c>
      <c r="N8" s="72">
        <f aca="true" t="shared" si="1" ref="N8:N21">SUM(K8:M8)</f>
        <v>-1029216</v>
      </c>
      <c r="O8" s="72">
        <f aca="true" t="shared" si="2" ref="O8:O21">N8+J8</f>
        <v>-3087648</v>
      </c>
      <c r="P8" s="74">
        <f>P7*0.302</f>
        <v>-343072</v>
      </c>
      <c r="Q8" s="74">
        <f>Q7*0.302</f>
        <v>-343072</v>
      </c>
      <c r="R8" s="74">
        <f>R7*0.302</f>
        <v>-343072</v>
      </c>
      <c r="S8" s="72">
        <f>SUM(P8:R8)</f>
        <v>-1029216</v>
      </c>
      <c r="T8" s="68">
        <f>S8+O8</f>
        <v>-4116864</v>
      </c>
    </row>
    <row r="9" spans="1:20" s="65" customFormat="1" ht="11.25">
      <c r="A9" s="73" t="s">
        <v>101</v>
      </c>
      <c r="B9" s="74">
        <f>-'2014'!B28</f>
        <v>-1050000</v>
      </c>
      <c r="C9" s="74">
        <f>-'2014'!C28</f>
        <v>-150227.76960000003</v>
      </c>
      <c r="D9" s="74">
        <f>-'2014'!D28</f>
        <v>-300455.53920000006</v>
      </c>
      <c r="E9" s="72">
        <f>SUM(B9:D9)</f>
        <v>-1500683.3088</v>
      </c>
      <c r="F9" s="74">
        <f>-'2014'!E28</f>
        <v>-4882402.512</v>
      </c>
      <c r="G9" s="74">
        <f>-'2014'!F28</f>
        <v>-4882402.512</v>
      </c>
      <c r="H9" s="74">
        <f>-'2014'!G28</f>
        <v>-2478758.1984000006</v>
      </c>
      <c r="I9" s="72">
        <f>SUM(F9:H9)</f>
        <v>-12243563.2224</v>
      </c>
      <c r="J9" s="72">
        <f>I9+E9</f>
        <v>-13744246.531200001</v>
      </c>
      <c r="K9" s="74">
        <f>-'2014'!H28</f>
        <v>-2478758.1984000006</v>
      </c>
      <c r="L9" s="74">
        <f>-'2014'!I28</f>
        <v>-2478758.1984000006</v>
      </c>
      <c r="M9" s="74">
        <f>-'2014'!J28</f>
        <v>-2478758.1984000006</v>
      </c>
      <c r="N9" s="72">
        <f t="shared" si="1"/>
        <v>-7436274.595200002</v>
      </c>
      <c r="O9" s="72">
        <f t="shared" si="2"/>
        <v>-21180521.1264</v>
      </c>
      <c r="P9" s="74">
        <f>-'2014'!K28</f>
        <v>-4882402.512</v>
      </c>
      <c r="Q9" s="74">
        <f>-'2014'!L28</f>
        <v>-4882402.512</v>
      </c>
      <c r="R9" s="74">
        <f>-'2014'!M28</f>
        <v>-150227.76960000003</v>
      </c>
      <c r="S9" s="72">
        <f>SUM(P9:R9)</f>
        <v>-9915032.7936</v>
      </c>
      <c r="T9" s="68">
        <f>S9+O9</f>
        <v>-31095553.92</v>
      </c>
    </row>
    <row r="10" spans="1:20" s="65" customFormat="1" ht="11.25">
      <c r="A10" s="73" t="s">
        <v>102</v>
      </c>
      <c r="B10" s="74">
        <f>-('2014'!B33-'2014'!B18-'2014'!B28)</f>
        <v>-5084887</v>
      </c>
      <c r="C10" s="74">
        <f>-('2014'!C33-'2014'!C18-'2014'!C28)</f>
        <v>-2589917.36928</v>
      </c>
      <c r="D10" s="74">
        <f>-('2014'!D33-'2014'!D18-'2014'!D280)</f>
        <v>-2885403.27776</v>
      </c>
      <c r="E10" s="72">
        <f>SUM(B10:D10)</f>
        <v>-10560207.64704</v>
      </c>
      <c r="F10" s="74">
        <f>-('2014'!E33-'2014'!E18-'2014'!E28)</f>
        <v>-4419531.001599999</v>
      </c>
      <c r="G10" s="74">
        <f>-('2014'!F33-'2014'!F18-'2014'!F28)</f>
        <v>-3205874.001599999</v>
      </c>
      <c r="H10" s="74">
        <f>-('2014'!G33-'2014'!G18-'2014'!G28)</f>
        <v>-5135040.016576001</v>
      </c>
      <c r="I10" s="72">
        <f>SUM(F10:H10)</f>
        <v>-12760445.019776</v>
      </c>
      <c r="J10" s="72">
        <f>I10+E10</f>
        <v>-23320652.666816</v>
      </c>
      <c r="K10" s="74">
        <f>-('2014'!H33-'2014'!H28-'2014'!H18)</f>
        <v>-4476222.093120001</v>
      </c>
      <c r="L10" s="74">
        <f>-('2014'!I33-'2014'!I28-'2014'!I18)</f>
        <v>-3328908.0931200013</v>
      </c>
      <c r="M10" s="74">
        <f>-('2014'!J33-'2014'!J28-'2014'!J18)</f>
        <v>-3353908.0931200013</v>
      </c>
      <c r="N10" s="72">
        <f t="shared" si="1"/>
        <v>-11159038.279360004</v>
      </c>
      <c r="O10" s="72">
        <f t="shared" si="2"/>
        <v>-34479690.94617601</v>
      </c>
      <c r="P10" s="74">
        <f>-('2014'!K33-'2014'!K28-'2014'!K18)</f>
        <v>-4660365.001599999</v>
      </c>
      <c r="Q10" s="74">
        <f>-('2014'!L33-'2014'!L28-'2014'!L18)</f>
        <v>-3649394.001599999</v>
      </c>
      <c r="R10" s="74">
        <f>-('2014'!M33-'2014'!M28-'2014'!M18)</f>
        <v>-3018437.36928</v>
      </c>
      <c r="S10" s="72">
        <f>SUM(P10:R10)</f>
        <v>-11328196.372479998</v>
      </c>
      <c r="T10" s="68">
        <f>S10+O10</f>
        <v>-45807887.318656005</v>
      </c>
    </row>
    <row r="11" spans="1:20" s="65" customFormat="1" ht="11.25" hidden="1">
      <c r="A11" s="75" t="s">
        <v>93</v>
      </c>
      <c r="B11" s="76">
        <f>B12+B13+B14+B15+B16</f>
        <v>0</v>
      </c>
      <c r="C11" s="76">
        <f>C12+C13+C14+C15+C16</f>
        <v>0</v>
      </c>
      <c r="D11" s="76">
        <f>D12+D13+D14+D15+D16</f>
        <v>0</v>
      </c>
      <c r="E11" s="76">
        <f>SUM(B11:D11)</f>
        <v>0</v>
      </c>
      <c r="F11" s="76">
        <f>F12+F13+F14+F15+F16</f>
        <v>0</v>
      </c>
      <c r="G11" s="76">
        <f>G12+G13+G14+G15+G16</f>
        <v>0</v>
      </c>
      <c r="H11" s="76">
        <f>H12+H13+H14+H15+H16</f>
        <v>0</v>
      </c>
      <c r="I11" s="76">
        <f>SUM(F11:H11)</f>
        <v>0</v>
      </c>
      <c r="J11" s="76">
        <f>I11+E11</f>
        <v>0</v>
      </c>
      <c r="K11" s="76">
        <f>K12+K13+K14+K15+K16</f>
        <v>0</v>
      </c>
      <c r="L11" s="76">
        <f>L12+L13+L14+L15+L16</f>
        <v>0</v>
      </c>
      <c r="M11" s="76">
        <f>M12+M13+M14+M15+M16</f>
        <v>0</v>
      </c>
      <c r="N11" s="72">
        <f t="shared" si="1"/>
        <v>0</v>
      </c>
      <c r="O11" s="72">
        <f t="shared" si="2"/>
        <v>0</v>
      </c>
      <c r="P11" s="76">
        <f>P12+P13+P14+P15+P16</f>
        <v>0</v>
      </c>
      <c r="Q11" s="76">
        <f>Q12+Q13+Q14+Q15+Q16</f>
        <v>0</v>
      </c>
      <c r="R11" s="76">
        <f>R12+R13+R14+R15+R16</f>
        <v>0</v>
      </c>
      <c r="S11" s="76">
        <f>S12+S13+S14+S15+S16</f>
        <v>0</v>
      </c>
      <c r="T11" s="77">
        <f>SUM(T12:T16)</f>
        <v>0</v>
      </c>
    </row>
    <row r="12" spans="1:20" s="65" customFormat="1" ht="18" customHeight="1" hidden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2">
        <f t="shared" si="1"/>
        <v>0</v>
      </c>
      <c r="O12" s="72">
        <f t="shared" si="2"/>
        <v>0</v>
      </c>
      <c r="P12" s="79"/>
      <c r="Q12" s="79"/>
      <c r="R12" s="79"/>
      <c r="S12" s="79"/>
      <c r="T12" s="64"/>
    </row>
    <row r="13" spans="1:20" s="65" customFormat="1" ht="11.25" hidden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72">
        <f t="shared" si="1"/>
        <v>0</v>
      </c>
      <c r="O13" s="72">
        <f t="shared" si="2"/>
        <v>0</v>
      </c>
      <c r="P13" s="81"/>
      <c r="Q13" s="81"/>
      <c r="R13" s="81"/>
      <c r="S13" s="81"/>
      <c r="T13" s="68"/>
    </row>
    <row r="14" spans="1:20" s="65" customFormat="1" ht="11.25" hidden="1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72">
        <f t="shared" si="1"/>
        <v>0</v>
      </c>
      <c r="O14" s="72">
        <f t="shared" si="2"/>
        <v>0</v>
      </c>
      <c r="P14" s="83"/>
      <c r="Q14" s="83"/>
      <c r="R14" s="83"/>
      <c r="S14" s="83"/>
      <c r="T14" s="68"/>
    </row>
    <row r="15" spans="1:20" s="65" customFormat="1" ht="11.25" hidden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2">
        <f t="shared" si="1"/>
        <v>0</v>
      </c>
      <c r="O15" s="72">
        <f t="shared" si="2"/>
        <v>0</v>
      </c>
      <c r="P15" s="83"/>
      <c r="Q15" s="83"/>
      <c r="R15" s="83"/>
      <c r="S15" s="83"/>
      <c r="T15" s="68"/>
    </row>
    <row r="16" spans="1:20" s="65" customFormat="1" ht="11.25" hidden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72">
        <f t="shared" si="1"/>
        <v>0</v>
      </c>
      <c r="O16" s="72">
        <f t="shared" si="2"/>
        <v>0</v>
      </c>
      <c r="P16" s="85"/>
      <c r="Q16" s="85"/>
      <c r="R16" s="85"/>
      <c r="S16" s="83"/>
      <c r="T16" s="68"/>
    </row>
    <row r="17" spans="1:20" s="65" customFormat="1" ht="11.25" hidden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72">
        <f t="shared" si="1"/>
        <v>0</v>
      </c>
      <c r="O17" s="72">
        <f t="shared" si="2"/>
        <v>0</v>
      </c>
      <c r="P17" s="87"/>
      <c r="Q17" s="87"/>
      <c r="R17" s="87"/>
      <c r="S17" s="87"/>
      <c r="T17" s="77"/>
    </row>
    <row r="18" spans="1:20" s="65" customFormat="1" ht="11.25" hidden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72">
        <f t="shared" si="1"/>
        <v>0</v>
      </c>
      <c r="O18" s="72">
        <f t="shared" si="2"/>
        <v>0</v>
      </c>
      <c r="P18" s="89"/>
      <c r="Q18" s="89"/>
      <c r="R18" s="89"/>
      <c r="S18" s="89"/>
      <c r="T18" s="77"/>
    </row>
    <row r="19" spans="1:20" s="65" customFormat="1" ht="11.25" hidden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72">
        <f t="shared" si="1"/>
        <v>0</v>
      </c>
      <c r="O19" s="72">
        <f t="shared" si="2"/>
        <v>0</v>
      </c>
      <c r="P19" s="91"/>
      <c r="Q19" s="91"/>
      <c r="R19" s="91"/>
      <c r="S19" s="91"/>
      <c r="T19" s="68"/>
    </row>
    <row r="20" spans="1:20" s="65" customFormat="1" ht="11.25" hidden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72">
        <f t="shared" si="1"/>
        <v>0</v>
      </c>
      <c r="O20" s="72">
        <f t="shared" si="2"/>
        <v>0</v>
      </c>
      <c r="P20" s="93"/>
      <c r="Q20" s="93"/>
      <c r="R20" s="93"/>
      <c r="S20" s="93"/>
      <c r="T20" s="68"/>
    </row>
    <row r="21" spans="1:20" s="65" customFormat="1" ht="11.25" hidden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72">
        <f t="shared" si="1"/>
        <v>0</v>
      </c>
      <c r="O21" s="72">
        <f t="shared" si="2"/>
        <v>0</v>
      </c>
      <c r="P21" s="85"/>
      <c r="Q21" s="85"/>
      <c r="R21" s="85"/>
      <c r="S21" s="85"/>
      <c r="T21" s="68"/>
    </row>
    <row r="22" spans="1:20" s="65" customFormat="1" ht="21">
      <c r="A22" s="94" t="s">
        <v>94</v>
      </c>
      <c r="B22" s="95">
        <f>B3+B6</f>
        <v>-7613959</v>
      </c>
      <c r="C22" s="95">
        <f>C3+C6</f>
        <v>-4219217.13888</v>
      </c>
      <c r="D22" s="95">
        <f>D3+D6</f>
        <v>-4664930.8169599995</v>
      </c>
      <c r="E22" s="95">
        <f aca="true" t="shared" si="3" ref="E22:T22">E3+E6</f>
        <v>-16498106.955839999</v>
      </c>
      <c r="F22" s="95">
        <f t="shared" si="3"/>
        <v>-10781005.5136</v>
      </c>
      <c r="G22" s="95">
        <f t="shared" si="3"/>
        <v>978640.912320001</v>
      </c>
      <c r="H22" s="95">
        <f t="shared" si="3"/>
        <v>4427629.049024001</v>
      </c>
      <c r="I22" s="95">
        <f t="shared" si="3"/>
        <v>-5374735.552255999</v>
      </c>
      <c r="J22" s="95">
        <f t="shared" si="3"/>
        <v>-21872842.508096002</v>
      </c>
      <c r="K22" s="95">
        <f t="shared" si="3"/>
        <v>4545627.001920002</v>
      </c>
      <c r="L22" s="95">
        <f t="shared" si="3"/>
        <v>7788618.387840001</v>
      </c>
      <c r="M22" s="95">
        <f t="shared" si="3"/>
        <v>13036613.100800002</v>
      </c>
      <c r="N22" s="95">
        <f t="shared" si="3"/>
        <v>25370858.490560003</v>
      </c>
      <c r="O22" s="95">
        <f t="shared" si="3"/>
        <v>3498015.9824639857</v>
      </c>
      <c r="P22" s="95">
        <f t="shared" si="3"/>
        <v>6554809.529600002</v>
      </c>
      <c r="Q22" s="95">
        <f t="shared" si="3"/>
        <v>7565780.529600002</v>
      </c>
      <c r="R22" s="95">
        <f t="shared" si="3"/>
        <v>-4106917.16832</v>
      </c>
      <c r="S22" s="95">
        <f t="shared" si="3"/>
        <v>10013672.890880004</v>
      </c>
      <c r="T22" s="95">
        <f t="shared" si="3"/>
        <v>13511688.87334399</v>
      </c>
    </row>
    <row r="23" spans="1:20" s="99" customFormat="1" ht="11.25">
      <c r="A23" s="96" t="s">
        <v>95</v>
      </c>
      <c r="B23" s="97">
        <f>B22*20%</f>
        <v>-1522791.8</v>
      </c>
      <c r="C23" s="97">
        <f>C22*20%</f>
        <v>-843843.4277760001</v>
      </c>
      <c r="D23" s="97">
        <f>D22*20%</f>
        <v>-932986.1633919999</v>
      </c>
      <c r="E23" s="97">
        <f>SUM(B23:D23)</f>
        <v>-3299621.391168</v>
      </c>
      <c r="F23" s="97">
        <f>F22*20%</f>
        <v>-2156201.10272</v>
      </c>
      <c r="G23" s="97">
        <f>G22*20%</f>
        <v>195728.18246400022</v>
      </c>
      <c r="H23" s="97">
        <f>H22*20%</f>
        <v>885525.8098048002</v>
      </c>
      <c r="I23" s="97">
        <f>SUM(F23:H23)</f>
        <v>-1074947.1104511993</v>
      </c>
      <c r="J23" s="97">
        <f>I23+E23</f>
        <v>-4374568.501619199</v>
      </c>
      <c r="K23" s="97">
        <f>K22*20%</f>
        <v>909125.4003840004</v>
      </c>
      <c r="L23" s="97">
        <f>L22*20%</f>
        <v>1557723.6775680003</v>
      </c>
      <c r="M23" s="97">
        <f>M22*20%</f>
        <v>2607322.6201600004</v>
      </c>
      <c r="N23" s="97">
        <f>SUM(K23:M23)</f>
        <v>5074171.698112002</v>
      </c>
      <c r="O23" s="97">
        <f>N23+J23</f>
        <v>699603.1964928024</v>
      </c>
      <c r="P23" s="97">
        <f>P22*20%</f>
        <v>1310961.9059200005</v>
      </c>
      <c r="Q23" s="97">
        <f>Q22*20%</f>
        <v>1513156.1059200005</v>
      </c>
      <c r="R23" s="97">
        <f>R22*20%</f>
        <v>-821383.4336640001</v>
      </c>
      <c r="S23" s="97">
        <f>SUM(P23:R23)</f>
        <v>2002734.5781760006</v>
      </c>
      <c r="T23" s="98">
        <f>T22*20%</f>
        <v>2702337.774668798</v>
      </c>
    </row>
    <row r="24" spans="1:20" s="65" customFormat="1" ht="21">
      <c r="A24" s="100" t="s">
        <v>96</v>
      </c>
      <c r="B24" s="101">
        <f>B22-B23</f>
        <v>-6091167.2</v>
      </c>
      <c r="C24" s="101">
        <f aca="true" t="shared" si="4" ref="C24:T24">C22-C23</f>
        <v>-3375373.7111040005</v>
      </c>
      <c r="D24" s="101">
        <f t="shared" si="4"/>
        <v>-3731944.6535679996</v>
      </c>
      <c r="E24" s="101">
        <f t="shared" si="4"/>
        <v>-13198485.564671999</v>
      </c>
      <c r="F24" s="101">
        <f t="shared" si="4"/>
        <v>-8624804.41088</v>
      </c>
      <c r="G24" s="101">
        <f t="shared" si="4"/>
        <v>782912.7298560009</v>
      </c>
      <c r="H24" s="101">
        <f t="shared" si="4"/>
        <v>3542103.239219201</v>
      </c>
      <c r="I24" s="101">
        <f t="shared" si="4"/>
        <v>-4299788.4418048</v>
      </c>
      <c r="J24" s="101">
        <f t="shared" si="4"/>
        <v>-17498274.006476805</v>
      </c>
      <c r="K24" s="101">
        <f t="shared" si="4"/>
        <v>3636501.601536001</v>
      </c>
      <c r="L24" s="101">
        <f t="shared" si="4"/>
        <v>6230894.710272001</v>
      </c>
      <c r="M24" s="101">
        <f t="shared" si="4"/>
        <v>10429290.480640002</v>
      </c>
      <c r="N24" s="101">
        <f t="shared" si="4"/>
        <v>20296686.792448</v>
      </c>
      <c r="O24" s="101">
        <f t="shared" si="4"/>
        <v>2798412.7859711833</v>
      </c>
      <c r="P24" s="101">
        <f t="shared" si="4"/>
        <v>5243847.623680001</v>
      </c>
      <c r="Q24" s="101">
        <f t="shared" si="4"/>
        <v>6052624.423680002</v>
      </c>
      <c r="R24" s="101">
        <f t="shared" si="4"/>
        <v>-3285533.734656</v>
      </c>
      <c r="S24" s="101">
        <f t="shared" si="4"/>
        <v>8010938.3127040025</v>
      </c>
      <c r="T24" s="101">
        <f t="shared" si="4"/>
        <v>10809351.098675191</v>
      </c>
    </row>
    <row r="25" spans="1:20" s="65" customFormat="1" ht="11.25">
      <c r="A25" s="102" t="s">
        <v>97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68"/>
    </row>
    <row r="26" spans="1:20" s="65" customFormat="1" ht="11.25">
      <c r="A26" s="104" t="s">
        <v>98</v>
      </c>
      <c r="B26" s="105">
        <f>B24+B25</f>
        <v>-6091167.2</v>
      </c>
      <c r="C26" s="105">
        <f aca="true" t="shared" si="5" ref="C26:R26">C24+C25</f>
        <v>-3375373.7111040005</v>
      </c>
      <c r="D26" s="105">
        <f t="shared" si="5"/>
        <v>-3731944.6535679996</v>
      </c>
      <c r="E26" s="105">
        <f t="shared" si="5"/>
        <v>-13198485.564671999</v>
      </c>
      <c r="F26" s="105">
        <f t="shared" si="5"/>
        <v>-8624804.41088</v>
      </c>
      <c r="G26" s="105">
        <f t="shared" si="5"/>
        <v>782912.7298560009</v>
      </c>
      <c r="H26" s="105">
        <f t="shared" si="5"/>
        <v>3542103.239219201</v>
      </c>
      <c r="I26" s="105">
        <f t="shared" si="5"/>
        <v>-4299788.4418048</v>
      </c>
      <c r="J26" s="105">
        <f t="shared" si="5"/>
        <v>-17498274.006476805</v>
      </c>
      <c r="K26" s="105">
        <f t="shared" si="5"/>
        <v>3636501.601536001</v>
      </c>
      <c r="L26" s="105">
        <f t="shared" si="5"/>
        <v>6230894.710272001</v>
      </c>
      <c r="M26" s="105">
        <f t="shared" si="5"/>
        <v>10429290.480640002</v>
      </c>
      <c r="N26" s="105">
        <f t="shared" si="5"/>
        <v>20296686.792448</v>
      </c>
      <c r="O26" s="105">
        <f t="shared" si="5"/>
        <v>2798412.7859711833</v>
      </c>
      <c r="P26" s="105">
        <f t="shared" si="5"/>
        <v>5243847.623680001</v>
      </c>
      <c r="Q26" s="105">
        <f t="shared" si="5"/>
        <v>6052624.423680002</v>
      </c>
      <c r="R26" s="105">
        <f t="shared" si="5"/>
        <v>-3285533.734656</v>
      </c>
      <c r="S26" s="105">
        <f>S24+S25</f>
        <v>8010938.3127040025</v>
      </c>
      <c r="T26" s="77">
        <f>T24+T25</f>
        <v>10809351.098675191</v>
      </c>
    </row>
    <row r="27" ht="11.25">
      <c r="T27" s="107"/>
    </row>
    <row r="28" spans="1:19" ht="11.2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</row>
    <row r="29" spans="1:19" ht="11.2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</row>
    <row r="30" spans="1:42" s="106" customFormat="1" ht="11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</row>
    <row r="31" spans="1:42" s="106" customFormat="1" ht="11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</row>
    <row r="32" spans="1:42" s="106" customFormat="1" ht="11.2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</row>
    <row r="33" spans="1:42" s="106" customFormat="1" ht="11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</row>
    <row r="34" spans="1:42" s="106" customFormat="1" ht="11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</row>
    <row r="35" spans="1:42" s="106" customFormat="1" ht="11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</row>
    <row r="36" spans="1:42" s="106" customFormat="1" ht="11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</row>
    <row r="37" spans="1:42" s="106" customFormat="1" ht="11.2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</row>
    <row r="38" spans="1:42" s="106" customFormat="1" ht="11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</row>
    <row r="39" spans="1:42" s="106" customFormat="1" ht="11.2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</row>
    <row r="40" spans="1:42" s="106" customFormat="1" ht="11.2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</row>
    <row r="59" ht="11.25"/>
    <row r="60" ht="11.25"/>
    <row r="96" ht="11.25"/>
    <row r="97" ht="11.25"/>
    <row r="98" ht="11.25"/>
  </sheetData>
  <sheetProtection/>
  <protectedRanges>
    <protectedRange sqref="T23 T25 T19:T21 T12:T16 T4:T5 T7:T10" name="IV квартал"/>
    <protectedRange sqref="T23 T25 T19:T21 T12:T16 T4:T5 T7:T10" name="III квартал"/>
  </protectedRanges>
  <printOptions/>
  <pageMargins left="0" right="0" top="0" bottom="0" header="0" footer="0"/>
  <pageSetup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P40"/>
  <sheetViews>
    <sheetView view="pageBreakPreview" zoomScaleSheetLayoutView="100" zoomScalePageLayoutView="0" workbookViewId="0" topLeftCell="M1">
      <selection activeCell="S22" sqref="S22"/>
    </sheetView>
  </sheetViews>
  <sheetFormatPr defaultColWidth="9.140625" defaultRowHeight="15"/>
  <cols>
    <col min="1" max="1" width="42.00390625" style="106" customWidth="1"/>
    <col min="2" max="20" width="13.140625" style="106" customWidth="1"/>
    <col min="21" max="42" width="10.57421875" style="58" customWidth="1"/>
    <col min="43" max="16384" width="9.140625" style="58" customWidth="1"/>
  </cols>
  <sheetData>
    <row r="1" ht="11.25"/>
    <row r="2" spans="1:20" ht="22.5">
      <c r="A2" s="55" t="s">
        <v>82</v>
      </c>
      <c r="B2" s="56">
        <v>42005</v>
      </c>
      <c r="C2" s="56">
        <v>42036</v>
      </c>
      <c r="D2" s="56">
        <v>42064</v>
      </c>
      <c r="E2" s="57" t="s">
        <v>104</v>
      </c>
      <c r="F2" s="56">
        <v>42095</v>
      </c>
      <c r="G2" s="56">
        <v>42125</v>
      </c>
      <c r="H2" s="56">
        <v>42156</v>
      </c>
      <c r="I2" s="57" t="s">
        <v>105</v>
      </c>
      <c r="J2" s="57" t="s">
        <v>106</v>
      </c>
      <c r="K2" s="56">
        <v>42186</v>
      </c>
      <c r="L2" s="56">
        <v>42217</v>
      </c>
      <c r="M2" s="56">
        <v>42248</v>
      </c>
      <c r="N2" s="57" t="s">
        <v>107</v>
      </c>
      <c r="O2" s="57" t="s">
        <v>108</v>
      </c>
      <c r="P2" s="56">
        <v>42278</v>
      </c>
      <c r="Q2" s="56">
        <v>42309</v>
      </c>
      <c r="R2" s="56">
        <v>42339</v>
      </c>
      <c r="S2" s="57" t="s">
        <v>109</v>
      </c>
      <c r="T2" s="57" t="s">
        <v>110</v>
      </c>
    </row>
    <row r="3" spans="1:20" ht="11.25">
      <c r="A3" s="59" t="s">
        <v>90</v>
      </c>
      <c r="B3" s="60">
        <f>B4</f>
        <v>0</v>
      </c>
      <c r="C3" s="60">
        <f>C4</f>
        <v>925695</v>
      </c>
      <c r="D3" s="60">
        <f>D4</f>
        <v>1851525</v>
      </c>
      <c r="E3" s="60">
        <f>SUM(B3:D3)</f>
        <v>2777220</v>
      </c>
      <c r="F3" s="60">
        <f>F4</f>
        <v>30087180</v>
      </c>
      <c r="G3" s="60">
        <f>G4</f>
        <v>30087180</v>
      </c>
      <c r="H3" s="60">
        <f>H4</f>
        <v>15274980</v>
      </c>
      <c r="I3" s="60">
        <f>SUM(F3:H3)</f>
        <v>75449340</v>
      </c>
      <c r="J3" s="60">
        <f>I3+E3</f>
        <v>78226560</v>
      </c>
      <c r="K3" s="60">
        <f>K4</f>
        <v>15274980</v>
      </c>
      <c r="L3" s="60">
        <f>L4</f>
        <v>15274980</v>
      </c>
      <c r="M3" s="60">
        <f>M4</f>
        <v>15274980</v>
      </c>
      <c r="N3" s="60">
        <f>SUM(K3:M3)</f>
        <v>45824940</v>
      </c>
      <c r="O3" s="60">
        <f>N3+J3</f>
        <v>124051500</v>
      </c>
      <c r="P3" s="60">
        <f>P4</f>
        <v>30087180</v>
      </c>
      <c r="Q3" s="60">
        <f>Q4</f>
        <v>30087180</v>
      </c>
      <c r="R3" s="60">
        <f>R4</f>
        <v>925695</v>
      </c>
      <c r="S3" s="60">
        <f>SUM(P3:R3)</f>
        <v>61100055</v>
      </c>
      <c r="T3" s="61">
        <f>SUM(T4:T5)</f>
        <v>185151555</v>
      </c>
    </row>
    <row r="4" spans="1:20" s="65" customFormat="1" ht="11.25">
      <c r="A4" s="62" t="s">
        <v>91</v>
      </c>
      <c r="B4" s="63">
        <f>'2015'!B35</f>
        <v>0</v>
      </c>
      <c r="C4" s="63">
        <f>'2015'!C35</f>
        <v>925695</v>
      </c>
      <c r="D4" s="63">
        <f>'2015'!D35</f>
        <v>1851525</v>
      </c>
      <c r="E4" s="63">
        <f>SUM(B4:D4)</f>
        <v>2777220</v>
      </c>
      <c r="F4" s="63">
        <f>'2015'!E35</f>
        <v>30087180</v>
      </c>
      <c r="G4" s="63">
        <f>'2015'!F35</f>
        <v>30087180</v>
      </c>
      <c r="H4" s="63">
        <f>'2015'!G35</f>
        <v>15274980</v>
      </c>
      <c r="I4" s="63">
        <f>SUM(F4:H4)</f>
        <v>75449340</v>
      </c>
      <c r="J4" s="63">
        <f>I4+E4</f>
        <v>78226560</v>
      </c>
      <c r="K4" s="63">
        <f>'2015'!H35</f>
        <v>15274980</v>
      </c>
      <c r="L4" s="63">
        <f>'2015'!I35</f>
        <v>15274980</v>
      </c>
      <c r="M4" s="63">
        <f>'2015'!J35</f>
        <v>15274980</v>
      </c>
      <c r="N4" s="63">
        <f>SUM(K4:M4)</f>
        <v>45824940</v>
      </c>
      <c r="O4" s="63">
        <f>N4+J4</f>
        <v>124051500</v>
      </c>
      <c r="P4" s="63">
        <f>'2015'!K35</f>
        <v>30087180</v>
      </c>
      <c r="Q4" s="63">
        <f>'2015'!L35</f>
        <v>30087180</v>
      </c>
      <c r="R4" s="63">
        <f>'2015'!M35</f>
        <v>925695</v>
      </c>
      <c r="S4" s="63">
        <f>SUM(P4:R4)</f>
        <v>61100055</v>
      </c>
      <c r="T4" s="64">
        <f>S4+O4</f>
        <v>185151555</v>
      </c>
    </row>
    <row r="5" spans="1:20" s="65" customFormat="1" ht="11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8"/>
    </row>
    <row r="6" spans="1:20" s="65" customFormat="1" ht="11.25">
      <c r="A6" s="69" t="s">
        <v>92</v>
      </c>
      <c r="B6" s="70">
        <f>B7+B8+B9+B10</f>
        <v>-7536484.2</v>
      </c>
      <c r="C6" s="70">
        <f aca="true" t="shared" si="0" ref="C6:T6">C7+C8+C9+C10</f>
        <v>-4615461.2</v>
      </c>
      <c r="D6" s="70">
        <f t="shared" si="0"/>
        <v>-5599667.7</v>
      </c>
      <c r="E6" s="70">
        <f t="shared" si="0"/>
        <v>-17751613.1</v>
      </c>
      <c r="F6" s="70">
        <f t="shared" si="0"/>
        <v>-14699721.2</v>
      </c>
      <c r="G6" s="70">
        <f t="shared" si="0"/>
        <v>-13888934.2</v>
      </c>
      <c r="H6" s="70">
        <f t="shared" si="0"/>
        <v>-12310172.600000001</v>
      </c>
      <c r="I6" s="70">
        <f t="shared" si="0"/>
        <v>-40898828</v>
      </c>
      <c r="J6" s="70">
        <f t="shared" si="0"/>
        <v>-58650441.099999994</v>
      </c>
      <c r="K6" s="70">
        <f t="shared" si="0"/>
        <v>-10472906.2</v>
      </c>
      <c r="L6" s="70">
        <f t="shared" si="0"/>
        <v>-9703198.2</v>
      </c>
      <c r="M6" s="70">
        <f t="shared" si="0"/>
        <v>-9728198.2</v>
      </c>
      <c r="N6" s="70">
        <f t="shared" si="0"/>
        <v>-29904302.6</v>
      </c>
      <c r="O6" s="70">
        <f t="shared" si="0"/>
        <v>-88554743.69999999</v>
      </c>
      <c r="P6" s="70">
        <f t="shared" si="0"/>
        <v>-15087895.2</v>
      </c>
      <c r="Q6" s="70">
        <f t="shared" si="0"/>
        <v>-14421158.2</v>
      </c>
      <c r="R6" s="70">
        <f t="shared" si="0"/>
        <v>-5132685.2</v>
      </c>
      <c r="S6" s="70">
        <f t="shared" si="0"/>
        <v>-34641738.6</v>
      </c>
      <c r="T6" s="70">
        <f t="shared" si="0"/>
        <v>-123196482.30000001</v>
      </c>
    </row>
    <row r="7" spans="1:20" s="65" customFormat="1" ht="11.25">
      <c r="A7" s="71" t="s">
        <v>99</v>
      </c>
      <c r="B7" s="72">
        <f>-'2015'!B18</f>
        <v>-1249600</v>
      </c>
      <c r="C7" s="72">
        <f>-'2015'!C18</f>
        <v>-1249600</v>
      </c>
      <c r="D7" s="72">
        <f>-'2015'!D18</f>
        <v>-1249600</v>
      </c>
      <c r="E7" s="72">
        <f>SUM(B7:D7)</f>
        <v>-3748800</v>
      </c>
      <c r="F7" s="72">
        <f>-'2015'!E18</f>
        <v>-1249600</v>
      </c>
      <c r="G7" s="72">
        <f>-'2015'!F18</f>
        <v>-1249600</v>
      </c>
      <c r="H7" s="72">
        <f>-'2015'!G18</f>
        <v>-1249600</v>
      </c>
      <c r="I7" s="72">
        <f>SUM(F7:H7)</f>
        <v>-3748800</v>
      </c>
      <c r="J7" s="72">
        <f>I7+E7</f>
        <v>-7497600</v>
      </c>
      <c r="K7" s="72">
        <f>-'2015'!H18</f>
        <v>-1249600</v>
      </c>
      <c r="L7" s="72">
        <f>-'2015'!I18</f>
        <v>-1249600</v>
      </c>
      <c r="M7" s="72">
        <f>-'2015'!J18</f>
        <v>-1249600</v>
      </c>
      <c r="N7" s="72">
        <f>SUM(K7:M7)</f>
        <v>-3748800</v>
      </c>
      <c r="O7" s="72">
        <f>N7+J7</f>
        <v>-11246400</v>
      </c>
      <c r="P7" s="72">
        <f>-'2015'!K18</f>
        <v>-1249600</v>
      </c>
      <c r="Q7" s="72">
        <f>-'2015'!L18</f>
        <v>-1249600</v>
      </c>
      <c r="R7" s="72">
        <f>-'2015'!M18</f>
        <v>-1249600</v>
      </c>
      <c r="S7" s="72">
        <f>SUM(P7:R7)</f>
        <v>-3748800</v>
      </c>
      <c r="T7" s="68">
        <f>S7+O7</f>
        <v>-14995200</v>
      </c>
    </row>
    <row r="8" spans="1:20" s="65" customFormat="1" ht="11.25">
      <c r="A8" s="73" t="s">
        <v>100</v>
      </c>
      <c r="B8" s="74">
        <f>B7*0.302</f>
        <v>-377379.2</v>
      </c>
      <c r="C8" s="74">
        <f>C7*0.302</f>
        <v>-377379.2</v>
      </c>
      <c r="D8" s="74">
        <f>D7*0.302</f>
        <v>-377379.2</v>
      </c>
      <c r="E8" s="72">
        <f>SUM(B8:D8)</f>
        <v>-1132137.6</v>
      </c>
      <c r="F8" s="74">
        <f>F7*0.302</f>
        <v>-377379.2</v>
      </c>
      <c r="G8" s="74">
        <f>G7*0.302</f>
        <v>-377379.2</v>
      </c>
      <c r="H8" s="74">
        <f>H7*0.302</f>
        <v>-377379.2</v>
      </c>
      <c r="I8" s="72">
        <f>SUM(F8:H8)</f>
        <v>-1132137.6</v>
      </c>
      <c r="J8" s="72">
        <f>I8+E8</f>
        <v>-2264275.2</v>
      </c>
      <c r="K8" s="74">
        <f>K7*0.302</f>
        <v>-377379.2</v>
      </c>
      <c r="L8" s="74">
        <f>L7*0.302</f>
        <v>-377379.2</v>
      </c>
      <c r="M8" s="74">
        <f>M7*0.302</f>
        <v>-377379.2</v>
      </c>
      <c r="N8" s="72">
        <f aca="true" t="shared" si="1" ref="N8:N21">SUM(K8:M8)</f>
        <v>-1132137.6</v>
      </c>
      <c r="O8" s="72">
        <f aca="true" t="shared" si="2" ref="O8:O21">N8+J8</f>
        <v>-3396412.8000000003</v>
      </c>
      <c r="P8" s="74">
        <f>P7*0.302</f>
        <v>-377379.2</v>
      </c>
      <c r="Q8" s="74">
        <f>Q7*0.302</f>
        <v>-377379.2</v>
      </c>
      <c r="R8" s="74">
        <f>R7*0.302</f>
        <v>-377379.2</v>
      </c>
      <c r="S8" s="72">
        <f>SUM(P8:R8)</f>
        <v>-1132137.6</v>
      </c>
      <c r="T8" s="68">
        <f>S8+O8</f>
        <v>-4528550.4</v>
      </c>
    </row>
    <row r="9" spans="1:20" s="65" customFormat="1" ht="11.25">
      <c r="A9" s="73" t="s">
        <v>101</v>
      </c>
      <c r="B9" s="74">
        <f>-'2015'!B28</f>
        <v>0</v>
      </c>
      <c r="C9" s="74">
        <f>-'2015'!C28</f>
        <v>-257137.5</v>
      </c>
      <c r="D9" s="74">
        <f>-'2015'!D28</f>
        <v>-514312.5</v>
      </c>
      <c r="E9" s="72">
        <f>SUM(B9:D9)</f>
        <v>-771450</v>
      </c>
      <c r="F9" s="74">
        <f>-'2015'!E28</f>
        <v>-8357550</v>
      </c>
      <c r="G9" s="74">
        <f>-'2015'!F28</f>
        <v>-8357550</v>
      </c>
      <c r="H9" s="74">
        <f>-'2015'!G28</f>
        <v>-4243050</v>
      </c>
      <c r="I9" s="72">
        <f>SUM(F9:H9)</f>
        <v>-20958150</v>
      </c>
      <c r="J9" s="72">
        <f>I9+E9</f>
        <v>-21729600</v>
      </c>
      <c r="K9" s="74">
        <f>-'2015'!H28</f>
        <v>-4243050</v>
      </c>
      <c r="L9" s="74">
        <f>-'2015'!I28</f>
        <v>-4243050</v>
      </c>
      <c r="M9" s="74">
        <f>-'2015'!J28</f>
        <v>-4243050</v>
      </c>
      <c r="N9" s="72">
        <f t="shared" si="1"/>
        <v>-12729150</v>
      </c>
      <c r="O9" s="72">
        <f t="shared" si="2"/>
        <v>-34458750</v>
      </c>
      <c r="P9" s="74">
        <f>-'2015'!K28</f>
        <v>-8357550</v>
      </c>
      <c r="Q9" s="74">
        <f>-'2015'!L28</f>
        <v>-8357550</v>
      </c>
      <c r="R9" s="74">
        <f>-'2015'!M28</f>
        <v>-257137.5</v>
      </c>
      <c r="S9" s="72">
        <f>SUM(P9:R9)</f>
        <v>-16972237.5</v>
      </c>
      <c r="T9" s="68">
        <f>S9+O9</f>
        <v>-51430987.5</v>
      </c>
    </row>
    <row r="10" spans="1:20" s="65" customFormat="1" ht="11.25">
      <c r="A10" s="73" t="s">
        <v>102</v>
      </c>
      <c r="B10" s="74">
        <f>-('2015'!B33-'2015'!B18-'2015'!B28)</f>
        <v>-5909505</v>
      </c>
      <c r="C10" s="74">
        <f>-('2015'!C33-'2015'!C18-'2015'!C28)</f>
        <v>-2731344.5</v>
      </c>
      <c r="D10" s="74">
        <f>-('2015'!D33-'2015'!D18-'2015'!D280)</f>
        <v>-3458376</v>
      </c>
      <c r="E10" s="72">
        <f>SUM(B10:D10)</f>
        <v>-12099225.5</v>
      </c>
      <c r="F10" s="74">
        <f>-('2015'!E33-'2015'!E18-'2015'!E28)</f>
        <v>-4715192</v>
      </c>
      <c r="G10" s="74">
        <f>-('2015'!F33-'2015'!F18-'2015'!F28)</f>
        <v>-3904405</v>
      </c>
      <c r="H10" s="74">
        <f>-('2015'!G33-'2015'!G18-'2015'!G28)</f>
        <v>-6440143.4</v>
      </c>
      <c r="I10" s="72">
        <f>SUM(F10:H10)</f>
        <v>-15059740.4</v>
      </c>
      <c r="J10" s="72">
        <f>I10+E10</f>
        <v>-27158965.9</v>
      </c>
      <c r="K10" s="74">
        <f>-('2015'!H33-'2015'!H28-'2015'!H18)</f>
        <v>-4602877</v>
      </c>
      <c r="L10" s="74">
        <f>-('2015'!I33-'2015'!I28-'2015'!I18)</f>
        <v>-3833169</v>
      </c>
      <c r="M10" s="74">
        <f>-('2015'!J33-'2015'!J28-'2015'!J18)</f>
        <v>-3858169</v>
      </c>
      <c r="N10" s="72">
        <f t="shared" si="1"/>
        <v>-12294215</v>
      </c>
      <c r="O10" s="72">
        <f t="shared" si="2"/>
        <v>-39453180.9</v>
      </c>
      <c r="P10" s="74">
        <f>-('2015'!K33-'2015'!K28-'2015'!K18)</f>
        <v>-5103366</v>
      </c>
      <c r="Q10" s="74">
        <f>-('2015'!L33-'2015'!L28-'2015'!L18)</f>
        <v>-4436629</v>
      </c>
      <c r="R10" s="74">
        <f>-('2015'!M33-'2015'!M28-'2015'!M18)</f>
        <v>-3248568.5</v>
      </c>
      <c r="S10" s="72">
        <f>SUM(P10:R10)</f>
        <v>-12788563.5</v>
      </c>
      <c r="T10" s="68">
        <f>S10+O10</f>
        <v>-52241744.4</v>
      </c>
    </row>
    <row r="11" spans="1:20" s="65" customFormat="1" ht="11.25" hidden="1">
      <c r="A11" s="75" t="s">
        <v>93</v>
      </c>
      <c r="B11" s="76">
        <f>B12+B13+B14+B15+B16</f>
        <v>0</v>
      </c>
      <c r="C11" s="76">
        <f>C12+C13+C14+C15+C16</f>
        <v>0</v>
      </c>
      <c r="D11" s="76">
        <f>D12+D13+D14+D15+D16</f>
        <v>0</v>
      </c>
      <c r="E11" s="76">
        <f>SUM(B11:D11)</f>
        <v>0</v>
      </c>
      <c r="F11" s="76">
        <f>F12+F13+F14+F15+F16</f>
        <v>0</v>
      </c>
      <c r="G11" s="76">
        <f>G12+G13+G14+G15+G16</f>
        <v>0</v>
      </c>
      <c r="H11" s="76">
        <f>H12+H13+H14+H15+H16</f>
        <v>0</v>
      </c>
      <c r="I11" s="76">
        <f>SUM(F11:H11)</f>
        <v>0</v>
      </c>
      <c r="J11" s="76">
        <f>I11+E11</f>
        <v>0</v>
      </c>
      <c r="K11" s="76">
        <f>K12+K13+K14+K15+K16</f>
        <v>0</v>
      </c>
      <c r="L11" s="76">
        <f>L12+L13+L14+L15+L16</f>
        <v>0</v>
      </c>
      <c r="M11" s="76">
        <f>M12+M13+M14+M15+M16</f>
        <v>0</v>
      </c>
      <c r="N11" s="72">
        <f t="shared" si="1"/>
        <v>0</v>
      </c>
      <c r="O11" s="72">
        <f t="shared" si="2"/>
        <v>0</v>
      </c>
      <c r="P11" s="76">
        <f>P12+P13+P14+P15+P16</f>
        <v>0</v>
      </c>
      <c r="Q11" s="76">
        <f>Q12+Q13+Q14+Q15+Q16</f>
        <v>0</v>
      </c>
      <c r="R11" s="76">
        <f>R12+R13+R14+R15+R16</f>
        <v>0</v>
      </c>
      <c r="S11" s="76">
        <f>S12+S13+S14+S15+S16</f>
        <v>0</v>
      </c>
      <c r="T11" s="77">
        <f>SUM(T12:T16)</f>
        <v>0</v>
      </c>
    </row>
    <row r="12" spans="1:20" s="65" customFormat="1" ht="18" customHeight="1" hidden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2">
        <f t="shared" si="1"/>
        <v>0</v>
      </c>
      <c r="O12" s="72">
        <f t="shared" si="2"/>
        <v>0</v>
      </c>
      <c r="P12" s="79"/>
      <c r="Q12" s="79"/>
      <c r="R12" s="79"/>
      <c r="S12" s="79"/>
      <c r="T12" s="64"/>
    </row>
    <row r="13" spans="1:20" s="65" customFormat="1" ht="11.25" hidden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72">
        <f t="shared" si="1"/>
        <v>0</v>
      </c>
      <c r="O13" s="72">
        <f t="shared" si="2"/>
        <v>0</v>
      </c>
      <c r="P13" s="81"/>
      <c r="Q13" s="81"/>
      <c r="R13" s="81"/>
      <c r="S13" s="81"/>
      <c r="T13" s="68"/>
    </row>
    <row r="14" spans="1:20" s="65" customFormat="1" ht="11.25" hidden="1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72">
        <f t="shared" si="1"/>
        <v>0</v>
      </c>
      <c r="O14" s="72">
        <f t="shared" si="2"/>
        <v>0</v>
      </c>
      <c r="P14" s="83"/>
      <c r="Q14" s="83"/>
      <c r="R14" s="83"/>
      <c r="S14" s="83"/>
      <c r="T14" s="68"/>
    </row>
    <row r="15" spans="1:20" s="65" customFormat="1" ht="11.25" hidden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2">
        <f t="shared" si="1"/>
        <v>0</v>
      </c>
      <c r="O15" s="72">
        <f t="shared" si="2"/>
        <v>0</v>
      </c>
      <c r="P15" s="83"/>
      <c r="Q15" s="83"/>
      <c r="R15" s="83"/>
      <c r="S15" s="83"/>
      <c r="T15" s="68"/>
    </row>
    <row r="16" spans="1:20" s="65" customFormat="1" ht="11.25" hidden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72">
        <f t="shared" si="1"/>
        <v>0</v>
      </c>
      <c r="O16" s="72">
        <f t="shared" si="2"/>
        <v>0</v>
      </c>
      <c r="P16" s="85"/>
      <c r="Q16" s="85"/>
      <c r="R16" s="85"/>
      <c r="S16" s="83"/>
      <c r="T16" s="68"/>
    </row>
    <row r="17" spans="1:20" s="65" customFormat="1" ht="11.25" hidden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72">
        <f t="shared" si="1"/>
        <v>0</v>
      </c>
      <c r="O17" s="72">
        <f t="shared" si="2"/>
        <v>0</v>
      </c>
      <c r="P17" s="87"/>
      <c r="Q17" s="87"/>
      <c r="R17" s="87"/>
      <c r="S17" s="87"/>
      <c r="T17" s="77"/>
    </row>
    <row r="18" spans="1:20" s="65" customFormat="1" ht="11.25" hidden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72">
        <f t="shared" si="1"/>
        <v>0</v>
      </c>
      <c r="O18" s="72">
        <f t="shared" si="2"/>
        <v>0</v>
      </c>
      <c r="P18" s="89"/>
      <c r="Q18" s="89"/>
      <c r="R18" s="89"/>
      <c r="S18" s="89"/>
      <c r="T18" s="77"/>
    </row>
    <row r="19" spans="1:20" s="65" customFormat="1" ht="11.25" hidden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72">
        <f t="shared" si="1"/>
        <v>0</v>
      </c>
      <c r="O19" s="72">
        <f t="shared" si="2"/>
        <v>0</v>
      </c>
      <c r="P19" s="91"/>
      <c r="Q19" s="91"/>
      <c r="R19" s="91"/>
      <c r="S19" s="91"/>
      <c r="T19" s="68"/>
    </row>
    <row r="20" spans="1:20" s="65" customFormat="1" ht="11.25" hidden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72">
        <f t="shared" si="1"/>
        <v>0</v>
      </c>
      <c r="O20" s="72">
        <f t="shared" si="2"/>
        <v>0</v>
      </c>
      <c r="P20" s="93"/>
      <c r="Q20" s="93"/>
      <c r="R20" s="93"/>
      <c r="S20" s="93"/>
      <c r="T20" s="68"/>
    </row>
    <row r="21" spans="1:20" s="65" customFormat="1" ht="11.25" hidden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72">
        <f t="shared" si="1"/>
        <v>0</v>
      </c>
      <c r="O21" s="72">
        <f t="shared" si="2"/>
        <v>0</v>
      </c>
      <c r="P21" s="85"/>
      <c r="Q21" s="85"/>
      <c r="R21" s="85"/>
      <c r="S21" s="85"/>
      <c r="T21" s="68"/>
    </row>
    <row r="22" spans="1:20" s="65" customFormat="1" ht="11.25">
      <c r="A22" s="94" t="s">
        <v>94</v>
      </c>
      <c r="B22" s="95">
        <f>B3+B6</f>
        <v>-7536484.2</v>
      </c>
      <c r="C22" s="95">
        <f>C3+C6</f>
        <v>-3689766.2</v>
      </c>
      <c r="D22" s="95">
        <f>D3+D6</f>
        <v>-3748142.7</v>
      </c>
      <c r="E22" s="95">
        <f aca="true" t="shared" si="3" ref="E22:S22">E3+E6</f>
        <v>-14974393.100000001</v>
      </c>
      <c r="F22" s="95">
        <f t="shared" si="3"/>
        <v>15387458.8</v>
      </c>
      <c r="G22" s="95">
        <f t="shared" si="3"/>
        <v>16198245.8</v>
      </c>
      <c r="H22" s="95">
        <f t="shared" si="3"/>
        <v>2964807.3999999985</v>
      </c>
      <c r="I22" s="95">
        <f t="shared" si="3"/>
        <v>34550512</v>
      </c>
      <c r="J22" s="95">
        <f t="shared" si="3"/>
        <v>19576118.900000006</v>
      </c>
      <c r="K22" s="95">
        <f t="shared" si="3"/>
        <v>4802073.800000001</v>
      </c>
      <c r="L22" s="95">
        <f t="shared" si="3"/>
        <v>5571781.800000001</v>
      </c>
      <c r="M22" s="95">
        <f t="shared" si="3"/>
        <v>5546781.800000001</v>
      </c>
      <c r="N22" s="95">
        <f t="shared" si="3"/>
        <v>15920637.399999999</v>
      </c>
      <c r="O22" s="95">
        <f t="shared" si="3"/>
        <v>35496756.30000001</v>
      </c>
      <c r="P22" s="95">
        <f t="shared" si="3"/>
        <v>14999284.8</v>
      </c>
      <c r="Q22" s="95">
        <f t="shared" si="3"/>
        <v>15666021.8</v>
      </c>
      <c r="R22" s="95">
        <f t="shared" si="3"/>
        <v>-4206990.2</v>
      </c>
      <c r="S22" s="95">
        <f t="shared" si="3"/>
        <v>26458316.4</v>
      </c>
      <c r="T22" s="95">
        <f>T3+T6</f>
        <v>61955072.69999999</v>
      </c>
    </row>
    <row r="23" spans="1:20" s="99" customFormat="1" ht="11.25">
      <c r="A23" s="96" t="s">
        <v>95</v>
      </c>
      <c r="B23" s="97">
        <f>B22*20%</f>
        <v>-1507296.84</v>
      </c>
      <c r="C23" s="97">
        <f aca="true" t="shared" si="4" ref="C23:T23">C22*20%</f>
        <v>-737953.2400000001</v>
      </c>
      <c r="D23" s="97">
        <f t="shared" si="4"/>
        <v>-749628.54</v>
      </c>
      <c r="E23" s="97">
        <f t="shared" si="4"/>
        <v>-2994878.6200000006</v>
      </c>
      <c r="F23" s="97">
        <f t="shared" si="4"/>
        <v>3077491.7600000002</v>
      </c>
      <c r="G23" s="97">
        <f t="shared" si="4"/>
        <v>3239649.16</v>
      </c>
      <c r="H23" s="97">
        <f t="shared" si="4"/>
        <v>592961.4799999997</v>
      </c>
      <c r="I23" s="97">
        <f>I22*20%</f>
        <v>6910102.4</v>
      </c>
      <c r="J23" s="97">
        <f t="shared" si="4"/>
        <v>3915223.780000001</v>
      </c>
      <c r="K23" s="97">
        <f t="shared" si="4"/>
        <v>960414.7600000002</v>
      </c>
      <c r="L23" s="97">
        <f t="shared" si="4"/>
        <v>1114356.36</v>
      </c>
      <c r="M23" s="97">
        <f t="shared" si="4"/>
        <v>1109356.36</v>
      </c>
      <c r="N23" s="97">
        <f t="shared" si="4"/>
        <v>3184127.48</v>
      </c>
      <c r="O23" s="97">
        <f t="shared" si="4"/>
        <v>7099351.260000003</v>
      </c>
      <c r="P23" s="97">
        <f t="shared" si="4"/>
        <v>2999856.9600000004</v>
      </c>
      <c r="Q23" s="97">
        <f t="shared" si="4"/>
        <v>3133204.3600000003</v>
      </c>
      <c r="R23" s="97">
        <f t="shared" si="4"/>
        <v>-841398.04</v>
      </c>
      <c r="S23" s="97">
        <f t="shared" si="4"/>
        <v>5291663.28</v>
      </c>
      <c r="T23" s="97">
        <f t="shared" si="4"/>
        <v>12391014.54</v>
      </c>
    </row>
    <row r="24" spans="1:20" s="65" customFormat="1" ht="21">
      <c r="A24" s="100" t="s">
        <v>96</v>
      </c>
      <c r="B24" s="101">
        <f>B22-B23</f>
        <v>-6029187.36</v>
      </c>
      <c r="C24" s="101">
        <f>C22-C23</f>
        <v>-2951812.96</v>
      </c>
      <c r="D24" s="101">
        <f aca="true" t="shared" si="5" ref="D24:T24">D22-D23</f>
        <v>-2998514.16</v>
      </c>
      <c r="E24" s="101">
        <f t="shared" si="5"/>
        <v>-11979514.48</v>
      </c>
      <c r="F24" s="101">
        <f t="shared" si="5"/>
        <v>12309967.040000001</v>
      </c>
      <c r="G24" s="101">
        <f t="shared" si="5"/>
        <v>12958596.64</v>
      </c>
      <c r="H24" s="101">
        <f t="shared" si="5"/>
        <v>2371845.919999999</v>
      </c>
      <c r="I24" s="101">
        <f t="shared" si="5"/>
        <v>27640409.6</v>
      </c>
      <c r="J24" s="101">
        <f t="shared" si="5"/>
        <v>15660895.120000005</v>
      </c>
      <c r="K24" s="101">
        <f t="shared" si="5"/>
        <v>3841659.0400000005</v>
      </c>
      <c r="L24" s="101">
        <f t="shared" si="5"/>
        <v>4457425.44</v>
      </c>
      <c r="M24" s="101">
        <f t="shared" si="5"/>
        <v>4437425.44</v>
      </c>
      <c r="N24" s="101">
        <f t="shared" si="5"/>
        <v>12736509.919999998</v>
      </c>
      <c r="O24" s="101">
        <f t="shared" si="5"/>
        <v>28397405.04000001</v>
      </c>
      <c r="P24" s="101">
        <f t="shared" si="5"/>
        <v>11999427.84</v>
      </c>
      <c r="Q24" s="101">
        <f t="shared" si="5"/>
        <v>12532817.440000001</v>
      </c>
      <c r="R24" s="101">
        <f t="shared" si="5"/>
        <v>-3365592.16</v>
      </c>
      <c r="S24" s="101">
        <f t="shared" si="5"/>
        <v>21166653.119999997</v>
      </c>
      <c r="T24" s="101">
        <f t="shared" si="5"/>
        <v>49564058.15999999</v>
      </c>
    </row>
    <row r="25" spans="1:20" s="65" customFormat="1" ht="11.25">
      <c r="A25" s="102" t="s">
        <v>97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68"/>
    </row>
    <row r="26" spans="1:20" s="65" customFormat="1" ht="11.25">
      <c r="A26" s="104" t="s">
        <v>98</v>
      </c>
      <c r="B26" s="105">
        <f>B24+B25</f>
        <v>-6029187.36</v>
      </c>
      <c r="C26" s="105">
        <f aca="true" t="shared" si="6" ref="C26:R26">C24+C25</f>
        <v>-2951812.96</v>
      </c>
      <c r="D26" s="105">
        <f t="shared" si="6"/>
        <v>-2998514.16</v>
      </c>
      <c r="E26" s="105">
        <f t="shared" si="6"/>
        <v>-11979514.48</v>
      </c>
      <c r="F26" s="105">
        <f t="shared" si="6"/>
        <v>12309967.040000001</v>
      </c>
      <c r="G26" s="105">
        <f t="shared" si="6"/>
        <v>12958596.64</v>
      </c>
      <c r="H26" s="105">
        <f t="shared" si="6"/>
        <v>2371845.919999999</v>
      </c>
      <c r="I26" s="105">
        <f t="shared" si="6"/>
        <v>27640409.6</v>
      </c>
      <c r="J26" s="105">
        <f t="shared" si="6"/>
        <v>15660895.120000005</v>
      </c>
      <c r="K26" s="105">
        <f t="shared" si="6"/>
        <v>3841659.0400000005</v>
      </c>
      <c r="L26" s="105">
        <f t="shared" si="6"/>
        <v>4457425.44</v>
      </c>
      <c r="M26" s="105">
        <f t="shared" si="6"/>
        <v>4437425.44</v>
      </c>
      <c r="N26" s="105">
        <f t="shared" si="6"/>
        <v>12736509.919999998</v>
      </c>
      <c r="O26" s="105">
        <f t="shared" si="6"/>
        <v>28397405.04000001</v>
      </c>
      <c r="P26" s="105">
        <f t="shared" si="6"/>
        <v>11999427.84</v>
      </c>
      <c r="Q26" s="105">
        <f t="shared" si="6"/>
        <v>12532817.440000001</v>
      </c>
      <c r="R26" s="105">
        <f t="shared" si="6"/>
        <v>-3365592.16</v>
      </c>
      <c r="S26" s="105">
        <f>S24+S25</f>
        <v>21166653.119999997</v>
      </c>
      <c r="T26" s="77">
        <f>T24+T25</f>
        <v>49564058.15999999</v>
      </c>
    </row>
    <row r="27" ht="11.25">
      <c r="T27" s="107"/>
    </row>
    <row r="28" spans="1:19" ht="11.2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</row>
    <row r="29" spans="1:19" ht="11.2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</row>
    <row r="30" spans="1:42" s="106" customFormat="1" ht="11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</row>
    <row r="31" spans="1:42" s="106" customFormat="1" ht="11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</row>
    <row r="32" spans="1:42" s="106" customFormat="1" ht="11.2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</row>
    <row r="33" spans="1:42" s="106" customFormat="1" ht="11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</row>
    <row r="34" spans="1:42" s="106" customFormat="1" ht="11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</row>
    <row r="35" spans="1:42" s="106" customFormat="1" ht="11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</row>
    <row r="36" spans="1:42" s="106" customFormat="1" ht="11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</row>
    <row r="37" spans="1:42" s="106" customFormat="1" ht="11.2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</row>
    <row r="38" spans="1:42" s="106" customFormat="1" ht="11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</row>
    <row r="39" spans="1:42" s="106" customFormat="1" ht="11.2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</row>
    <row r="40" spans="1:42" s="106" customFormat="1" ht="11.2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</row>
    <row r="59" ht="11.25"/>
    <row r="60" ht="11.25"/>
    <row r="96" ht="11.25"/>
    <row r="97" ht="11.25"/>
    <row r="98" ht="11.25"/>
  </sheetData>
  <sheetProtection/>
  <protectedRanges>
    <protectedRange sqref="T25 T19:T21 T12:T16 T4:T5 T7:T10" name="IV квартал"/>
    <protectedRange sqref="T25 T19:T21 T12:T16 T4:T5 T7:T10" name="III квартал"/>
  </protectedRanges>
  <printOptions/>
  <pageMargins left="0" right="0" top="0" bottom="0" header="0" footer="0"/>
  <pageSetup horizontalDpi="600" verticalDpi="600" orientation="landscape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AP40"/>
  <sheetViews>
    <sheetView tabSelected="1" view="pageBreakPreview" zoomScaleSheetLayoutView="100" zoomScalePageLayoutView="0" workbookViewId="0" topLeftCell="A1">
      <selection activeCell="O23" sqref="O23"/>
    </sheetView>
  </sheetViews>
  <sheetFormatPr defaultColWidth="9.140625" defaultRowHeight="15"/>
  <cols>
    <col min="1" max="1" width="41.421875" style="106" customWidth="1"/>
    <col min="2" max="20" width="13.00390625" style="106" customWidth="1"/>
    <col min="21" max="42" width="10.57421875" style="58" customWidth="1"/>
    <col min="43" max="16384" width="9.140625" style="58" customWidth="1"/>
  </cols>
  <sheetData>
    <row r="1" ht="11.25"/>
    <row r="2" spans="1:20" ht="22.5">
      <c r="A2" s="55" t="s">
        <v>82</v>
      </c>
      <c r="B2" s="56">
        <v>42370</v>
      </c>
      <c r="C2" s="56">
        <v>42401</v>
      </c>
      <c r="D2" s="56">
        <v>42430</v>
      </c>
      <c r="E2" s="57" t="s">
        <v>111</v>
      </c>
      <c r="F2" s="56">
        <v>42461</v>
      </c>
      <c r="G2" s="56">
        <v>42491</v>
      </c>
      <c r="H2" s="56">
        <v>42522</v>
      </c>
      <c r="I2" s="57" t="s">
        <v>112</v>
      </c>
      <c r="J2" s="57" t="s">
        <v>113</v>
      </c>
      <c r="K2" s="56">
        <v>42552</v>
      </c>
      <c r="L2" s="56">
        <v>42583</v>
      </c>
      <c r="M2" s="56">
        <v>42614</v>
      </c>
      <c r="N2" s="57" t="s">
        <v>114</v>
      </c>
      <c r="O2" s="57" t="s">
        <v>115</v>
      </c>
      <c r="P2" s="56">
        <v>42644</v>
      </c>
      <c r="Q2" s="56">
        <v>42675</v>
      </c>
      <c r="R2" s="56">
        <v>42705</v>
      </c>
      <c r="S2" s="57" t="s">
        <v>116</v>
      </c>
      <c r="T2" s="57" t="s">
        <v>117</v>
      </c>
    </row>
    <row r="3" spans="1:20" ht="11.25">
      <c r="A3" s="59" t="s">
        <v>90</v>
      </c>
      <c r="B3" s="60">
        <f>B4</f>
        <v>0</v>
      </c>
      <c r="C3" s="60">
        <f>C4</f>
        <v>1490535</v>
      </c>
      <c r="D3" s="60">
        <f>D4</f>
        <v>2980935</v>
      </c>
      <c r="E3" s="60">
        <f>SUM(B3:D3)</f>
        <v>4471470</v>
      </c>
      <c r="F3" s="60">
        <f>F4</f>
        <v>48440295</v>
      </c>
      <c r="G3" s="60">
        <f>G4</f>
        <v>48440295</v>
      </c>
      <c r="H3" s="60">
        <f>H4</f>
        <v>24592815</v>
      </c>
      <c r="I3" s="60">
        <f>SUM(F3:H3)</f>
        <v>121473405</v>
      </c>
      <c r="J3" s="60">
        <f>I3+E3</f>
        <v>125944875</v>
      </c>
      <c r="K3" s="60">
        <f>K4</f>
        <v>24592815</v>
      </c>
      <c r="L3" s="60">
        <f>L4</f>
        <v>24592815</v>
      </c>
      <c r="M3" s="60">
        <f>M4</f>
        <v>24592815</v>
      </c>
      <c r="N3" s="60">
        <f>SUM(K3:M3)</f>
        <v>73778445</v>
      </c>
      <c r="O3" s="60">
        <f>N3+J3</f>
        <v>199723320</v>
      </c>
      <c r="P3" s="60">
        <f>P4</f>
        <v>48440295</v>
      </c>
      <c r="Q3" s="60">
        <f>Q4</f>
        <v>48440295</v>
      </c>
      <c r="R3" s="60">
        <f>R4</f>
        <v>1490535</v>
      </c>
      <c r="S3" s="60">
        <f>SUM(P3:R3)</f>
        <v>98371125</v>
      </c>
      <c r="T3" s="61">
        <f>SUM(T4:T5)</f>
        <v>298094445</v>
      </c>
    </row>
    <row r="4" spans="1:20" s="65" customFormat="1" ht="11.25">
      <c r="A4" s="62" t="s">
        <v>91</v>
      </c>
      <c r="B4" s="63">
        <f>'2016'!B35</f>
        <v>0</v>
      </c>
      <c r="C4" s="63">
        <f>'2016'!C35</f>
        <v>1490535</v>
      </c>
      <c r="D4" s="63">
        <f>'2016'!D35</f>
        <v>2980935</v>
      </c>
      <c r="E4" s="63">
        <f>SUM(B4:D4)</f>
        <v>4471470</v>
      </c>
      <c r="F4" s="63">
        <f>'2016'!E35</f>
        <v>48440295</v>
      </c>
      <c r="G4" s="63">
        <f>'2016'!F35</f>
        <v>48440295</v>
      </c>
      <c r="H4" s="63">
        <f>'2016'!G35</f>
        <v>24592815</v>
      </c>
      <c r="I4" s="63">
        <f>SUM(F4:H4)</f>
        <v>121473405</v>
      </c>
      <c r="J4" s="63">
        <f>I4+E4</f>
        <v>125944875</v>
      </c>
      <c r="K4" s="63">
        <f>'2016'!H35</f>
        <v>24592815</v>
      </c>
      <c r="L4" s="63">
        <f>'2016'!I35</f>
        <v>24592815</v>
      </c>
      <c r="M4" s="63">
        <f>'2016'!J35</f>
        <v>24592815</v>
      </c>
      <c r="N4" s="63">
        <f>SUM(K4:M4)</f>
        <v>73778445</v>
      </c>
      <c r="O4" s="63">
        <f>N4+J4</f>
        <v>199723320</v>
      </c>
      <c r="P4" s="63">
        <f>'2016'!K35</f>
        <v>48440295</v>
      </c>
      <c r="Q4" s="63">
        <f>'2016'!L35</f>
        <v>48440295</v>
      </c>
      <c r="R4" s="63">
        <f>'2016'!M35</f>
        <v>1490535</v>
      </c>
      <c r="S4" s="63">
        <f>SUM(P4:R4)</f>
        <v>98371125</v>
      </c>
      <c r="T4" s="64">
        <f>S4+O4</f>
        <v>298094445</v>
      </c>
    </row>
    <row r="5" spans="1:20" s="65" customFormat="1" ht="11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8"/>
    </row>
    <row r="6" spans="1:20" s="65" customFormat="1" ht="11.25">
      <c r="A6" s="69" t="s">
        <v>92</v>
      </c>
      <c r="B6" s="70">
        <f>B7+B8+B9+B10</f>
        <v>-7514523.2</v>
      </c>
      <c r="C6" s="70">
        <f aca="true" t="shared" si="0" ref="C6:T6">C7+C8+C9+C10</f>
        <v>-5088743.7</v>
      </c>
      <c r="D6" s="70">
        <f t="shared" si="0"/>
        <v>-6572021.2</v>
      </c>
      <c r="E6" s="70">
        <f t="shared" si="0"/>
        <v>-19175288.1</v>
      </c>
      <c r="F6" s="70">
        <f t="shared" si="0"/>
        <v>-20733956.7</v>
      </c>
      <c r="G6" s="70">
        <f t="shared" si="0"/>
        <v>-20201999.7</v>
      </c>
      <c r="H6" s="70">
        <f t="shared" si="0"/>
        <v>-17231703.3</v>
      </c>
      <c r="I6" s="70">
        <f t="shared" si="0"/>
        <v>-58167659.7</v>
      </c>
      <c r="J6" s="70">
        <f t="shared" si="0"/>
        <v>-77342947.80000001</v>
      </c>
      <c r="K6" s="70">
        <f t="shared" si="0"/>
        <v>-13675240.7</v>
      </c>
      <c r="L6" s="70">
        <f t="shared" si="0"/>
        <v>-13156479.7</v>
      </c>
      <c r="M6" s="70">
        <f t="shared" si="0"/>
        <v>-13181479.7</v>
      </c>
      <c r="N6" s="70">
        <f t="shared" si="0"/>
        <v>-40013200.1</v>
      </c>
      <c r="O6" s="70">
        <f t="shared" si="0"/>
        <v>-117356147.9</v>
      </c>
      <c r="P6" s="70">
        <f t="shared" si="0"/>
        <v>-21281552.7</v>
      </c>
      <c r="Q6" s="70">
        <f t="shared" si="0"/>
        <v>-20840667.7</v>
      </c>
      <c r="R6" s="70">
        <f t="shared" si="0"/>
        <v>-5712411.7</v>
      </c>
      <c r="S6" s="70">
        <f t="shared" si="0"/>
        <v>-47834632.1</v>
      </c>
      <c r="T6" s="70">
        <f t="shared" si="0"/>
        <v>-165190780</v>
      </c>
    </row>
    <row r="7" spans="1:20" s="65" customFormat="1" ht="11.25">
      <c r="A7" s="71" t="s">
        <v>99</v>
      </c>
      <c r="B7" s="72">
        <f>-'2016'!B18</f>
        <v>-1372600</v>
      </c>
      <c r="C7" s="72">
        <f>-'2016'!C18</f>
        <v>-1372600</v>
      </c>
      <c r="D7" s="72">
        <f>-'2016'!D18</f>
        <v>-1372600</v>
      </c>
      <c r="E7" s="72">
        <f>SUM(B7:D7)</f>
        <v>-4117800</v>
      </c>
      <c r="F7" s="72">
        <f>-'2016'!E18</f>
        <v>-1372600</v>
      </c>
      <c r="G7" s="72">
        <f>-'2016'!F18</f>
        <v>-1372600</v>
      </c>
      <c r="H7" s="72">
        <f>-'2016'!G18</f>
        <v>-1372600</v>
      </c>
      <c r="I7" s="72">
        <f>SUM(F7:H7)</f>
        <v>-4117800</v>
      </c>
      <c r="J7" s="72">
        <f>I7+E7</f>
        <v>-8235600</v>
      </c>
      <c r="K7" s="72">
        <f>-'2016'!H18</f>
        <v>-1372600</v>
      </c>
      <c r="L7" s="72">
        <f>-'2016'!I18</f>
        <v>-1372600</v>
      </c>
      <c r="M7" s="72">
        <f>-'2016'!J18</f>
        <v>-1372600</v>
      </c>
      <c r="N7" s="72">
        <f>SUM(K7:M7)</f>
        <v>-4117800</v>
      </c>
      <c r="O7" s="72">
        <f>N7+J7</f>
        <v>-12353400</v>
      </c>
      <c r="P7" s="72">
        <f>-'2016'!K18</f>
        <v>-1372600</v>
      </c>
      <c r="Q7" s="72">
        <f>-'2016'!L18</f>
        <v>-1372600</v>
      </c>
      <c r="R7" s="72">
        <f>-'2016'!M18</f>
        <v>-1372600</v>
      </c>
      <c r="S7" s="72">
        <f>SUM(P7:R7)</f>
        <v>-4117800</v>
      </c>
      <c r="T7" s="68">
        <f>S7+O7</f>
        <v>-16471200</v>
      </c>
    </row>
    <row r="8" spans="1:20" s="65" customFormat="1" ht="11.25">
      <c r="A8" s="73" t="s">
        <v>100</v>
      </c>
      <c r="B8" s="74">
        <f>B7*0.302</f>
        <v>-414525.2</v>
      </c>
      <c r="C8" s="74">
        <f>C7*0.302</f>
        <v>-414525.2</v>
      </c>
      <c r="D8" s="74">
        <f>D7*0.302</f>
        <v>-414525.2</v>
      </c>
      <c r="E8" s="72">
        <f>SUM(B8:D8)</f>
        <v>-1243575.6</v>
      </c>
      <c r="F8" s="74">
        <f>F7*0.302</f>
        <v>-414525.2</v>
      </c>
      <c r="G8" s="74">
        <f>G7*0.302</f>
        <v>-414525.2</v>
      </c>
      <c r="H8" s="74">
        <f>H7*0.302</f>
        <v>-414525.2</v>
      </c>
      <c r="I8" s="72">
        <f>SUM(F8:H8)</f>
        <v>-1243575.6</v>
      </c>
      <c r="J8" s="72">
        <f>I8+E8</f>
        <v>-2487151.2</v>
      </c>
      <c r="K8" s="74">
        <f>K7*0.302</f>
        <v>-414525.2</v>
      </c>
      <c r="L8" s="74">
        <f>L7*0.302</f>
        <v>-414525.2</v>
      </c>
      <c r="M8" s="74">
        <f>M7*0.302</f>
        <v>-414525.2</v>
      </c>
      <c r="N8" s="72">
        <f aca="true" t="shared" si="1" ref="N8:N21">SUM(K8:M8)</f>
        <v>-1243575.6</v>
      </c>
      <c r="O8" s="72">
        <f aca="true" t="shared" si="2" ref="O8:O21">N8+J8</f>
        <v>-3730726.8000000003</v>
      </c>
      <c r="P8" s="74">
        <f>P7*0.302</f>
        <v>-414525.2</v>
      </c>
      <c r="Q8" s="74">
        <f>Q7*0.302</f>
        <v>-414525.2</v>
      </c>
      <c r="R8" s="74">
        <f>R7*0.302</f>
        <v>-414525.2</v>
      </c>
      <c r="S8" s="72">
        <f>SUM(P8:R8)</f>
        <v>-1243575.6</v>
      </c>
      <c r="T8" s="68">
        <f>S8+O8</f>
        <v>-4974302.4</v>
      </c>
    </row>
    <row r="9" spans="1:20" s="65" customFormat="1" ht="11.25">
      <c r="A9" s="73" t="s">
        <v>101</v>
      </c>
      <c r="B9" s="74">
        <f>-'2016'!B28</f>
        <v>0</v>
      </c>
      <c r="C9" s="74">
        <f>-'2016'!C28</f>
        <v>-414037.5</v>
      </c>
      <c r="D9" s="74">
        <f>-'2016'!D28</f>
        <v>-828037.5</v>
      </c>
      <c r="E9" s="72">
        <f>SUM(B9:D9)</f>
        <v>-1242075</v>
      </c>
      <c r="F9" s="74">
        <f>-'2016'!E28</f>
        <v>-13455637.5</v>
      </c>
      <c r="G9" s="74">
        <f>-'2016'!F28</f>
        <v>-13455637.5</v>
      </c>
      <c r="H9" s="74">
        <f>-'2016'!G28</f>
        <v>-6831337.5</v>
      </c>
      <c r="I9" s="72">
        <f>SUM(F9:H9)</f>
        <v>-33742612.5</v>
      </c>
      <c r="J9" s="72">
        <f>I9+E9</f>
        <v>-34984687.5</v>
      </c>
      <c r="K9" s="74">
        <f>-'2016'!H28</f>
        <v>-6831337.5</v>
      </c>
      <c r="L9" s="74">
        <f>-'2016'!I28</f>
        <v>-6831337.5</v>
      </c>
      <c r="M9" s="74">
        <f>-'2016'!J28</f>
        <v>-6831337.5</v>
      </c>
      <c r="N9" s="72">
        <f t="shared" si="1"/>
        <v>-20494012.5</v>
      </c>
      <c r="O9" s="72">
        <f t="shared" si="2"/>
        <v>-55478700</v>
      </c>
      <c r="P9" s="74">
        <f>-'2016'!K28</f>
        <v>-13455637.5</v>
      </c>
      <c r="Q9" s="74">
        <f>-'2016'!L28</f>
        <v>-13455637.5</v>
      </c>
      <c r="R9" s="74">
        <f>-'2016'!M28</f>
        <v>-414037.5</v>
      </c>
      <c r="S9" s="72">
        <f>SUM(P9:R9)</f>
        <v>-27325312.5</v>
      </c>
      <c r="T9" s="68">
        <f>S9+O9</f>
        <v>-82804012.5</v>
      </c>
    </row>
    <row r="10" spans="1:20" s="65" customFormat="1" ht="11.25">
      <c r="A10" s="73" t="s">
        <v>102</v>
      </c>
      <c r="B10" s="74">
        <f>-('2016'!B33-'2016'!B18-'2016'!B28)</f>
        <v>-5727398</v>
      </c>
      <c r="C10" s="74">
        <f>-('2016'!C33-'2016'!C18-'2016'!C28)</f>
        <v>-2887581</v>
      </c>
      <c r="D10" s="74">
        <f>-('2016'!D33-'2016'!D18-'2016'!D280)</f>
        <v>-3956858.5</v>
      </c>
      <c r="E10" s="72">
        <f>SUM(B10:D10)</f>
        <v>-12571837.5</v>
      </c>
      <c r="F10" s="74">
        <f>-('2016'!E33-'2016'!E18-'2016'!E28)</f>
        <v>-5491194</v>
      </c>
      <c r="G10" s="74">
        <f>-('2016'!F33-'2016'!F18-'2016'!F28)</f>
        <v>-4959237</v>
      </c>
      <c r="H10" s="74">
        <f>-('2016'!G33-'2016'!G18-'2016'!G28)</f>
        <v>-8613240.600000001</v>
      </c>
      <c r="I10" s="72">
        <f>SUM(F10:H10)</f>
        <v>-19063671.6</v>
      </c>
      <c r="J10" s="72">
        <f>I10+E10</f>
        <v>-31635509.1</v>
      </c>
      <c r="K10" s="74">
        <f>-('2016'!H33-'2016'!H28-'2016'!H18)</f>
        <v>-5056778</v>
      </c>
      <c r="L10" s="74">
        <f>-('2016'!I33-'2016'!I28-'2016'!I18)</f>
        <v>-4538017</v>
      </c>
      <c r="M10" s="74">
        <f>-('2016'!J33-'2016'!J28-'2016'!J18)</f>
        <v>-4563017</v>
      </c>
      <c r="N10" s="72">
        <f t="shared" si="1"/>
        <v>-14157812</v>
      </c>
      <c r="O10" s="72">
        <f t="shared" si="2"/>
        <v>-45793321.1</v>
      </c>
      <c r="P10" s="74">
        <f>-('2016'!K33-'2016'!K28-'2016'!K18)</f>
        <v>-6038790</v>
      </c>
      <c r="Q10" s="74">
        <f>-('2016'!L33-'2016'!L28-'2016'!L18)</f>
        <v>-5597905</v>
      </c>
      <c r="R10" s="74">
        <f>-('2016'!M33-'2016'!M28-'2016'!M18)</f>
        <v>-3511249</v>
      </c>
      <c r="S10" s="72">
        <f>SUM(P10:R10)</f>
        <v>-15147944</v>
      </c>
      <c r="T10" s="68">
        <f>S10+O10</f>
        <v>-60941265.1</v>
      </c>
    </row>
    <row r="11" spans="1:20" s="65" customFormat="1" ht="11.25" hidden="1">
      <c r="A11" s="75" t="s">
        <v>93</v>
      </c>
      <c r="B11" s="76">
        <f>B12+B13+B14+B15+B16</f>
        <v>0</v>
      </c>
      <c r="C11" s="76">
        <f>C12+C13+C14+C15+C16</f>
        <v>0</v>
      </c>
      <c r="D11" s="76">
        <f>D12+D13+D14+D15+D16</f>
        <v>0</v>
      </c>
      <c r="E11" s="76">
        <f>SUM(B11:D11)</f>
        <v>0</v>
      </c>
      <c r="F11" s="76">
        <f>F12+F13+F14+F15+F16</f>
        <v>0</v>
      </c>
      <c r="G11" s="76">
        <f>G12+G13+G14+G15+G16</f>
        <v>0</v>
      </c>
      <c r="H11" s="76">
        <f>H12+H13+H14+H15+H16</f>
        <v>0</v>
      </c>
      <c r="I11" s="76">
        <f>SUM(F11:H11)</f>
        <v>0</v>
      </c>
      <c r="J11" s="76">
        <f>I11+E11</f>
        <v>0</v>
      </c>
      <c r="K11" s="76">
        <f>K12+K13+K14+K15+K16</f>
        <v>0</v>
      </c>
      <c r="L11" s="76">
        <f>L12+L13+L14+L15+L16</f>
        <v>0</v>
      </c>
      <c r="M11" s="76">
        <f>M12+M13+M14+M15+M16</f>
        <v>0</v>
      </c>
      <c r="N11" s="72">
        <f t="shared" si="1"/>
        <v>0</v>
      </c>
      <c r="O11" s="72">
        <f t="shared" si="2"/>
        <v>0</v>
      </c>
      <c r="P11" s="76">
        <f>P12+P13+P14+P15+P16</f>
        <v>0</v>
      </c>
      <c r="Q11" s="76">
        <f>Q12+Q13+Q14+Q15+Q16</f>
        <v>0</v>
      </c>
      <c r="R11" s="76">
        <f>R12+R13+R14+R15+R16</f>
        <v>0</v>
      </c>
      <c r="S11" s="76">
        <f>S12+S13+S14+S15+S16</f>
        <v>0</v>
      </c>
      <c r="T11" s="77">
        <f>SUM(T12:T16)</f>
        <v>0</v>
      </c>
    </row>
    <row r="12" spans="1:20" s="65" customFormat="1" ht="18" customHeight="1" hidden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2">
        <f t="shared" si="1"/>
        <v>0</v>
      </c>
      <c r="O12" s="72">
        <f t="shared" si="2"/>
        <v>0</v>
      </c>
      <c r="P12" s="79"/>
      <c r="Q12" s="79"/>
      <c r="R12" s="79"/>
      <c r="S12" s="79"/>
      <c r="T12" s="64"/>
    </row>
    <row r="13" spans="1:20" s="65" customFormat="1" ht="11.25" hidden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72">
        <f t="shared" si="1"/>
        <v>0</v>
      </c>
      <c r="O13" s="72">
        <f t="shared" si="2"/>
        <v>0</v>
      </c>
      <c r="P13" s="81"/>
      <c r="Q13" s="81"/>
      <c r="R13" s="81"/>
      <c r="S13" s="81"/>
      <c r="T13" s="68"/>
    </row>
    <row r="14" spans="1:20" s="65" customFormat="1" ht="11.25" hidden="1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72">
        <f t="shared" si="1"/>
        <v>0</v>
      </c>
      <c r="O14" s="72">
        <f t="shared" si="2"/>
        <v>0</v>
      </c>
      <c r="P14" s="83"/>
      <c r="Q14" s="83"/>
      <c r="R14" s="83"/>
      <c r="S14" s="83"/>
      <c r="T14" s="68"/>
    </row>
    <row r="15" spans="1:20" s="65" customFormat="1" ht="11.25" hidden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2">
        <f t="shared" si="1"/>
        <v>0</v>
      </c>
      <c r="O15" s="72">
        <f t="shared" si="2"/>
        <v>0</v>
      </c>
      <c r="P15" s="83"/>
      <c r="Q15" s="83"/>
      <c r="R15" s="83"/>
      <c r="S15" s="83"/>
      <c r="T15" s="68"/>
    </row>
    <row r="16" spans="1:20" s="65" customFormat="1" ht="11.25" hidden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72">
        <f t="shared" si="1"/>
        <v>0</v>
      </c>
      <c r="O16" s="72">
        <f t="shared" si="2"/>
        <v>0</v>
      </c>
      <c r="P16" s="85"/>
      <c r="Q16" s="85"/>
      <c r="R16" s="85"/>
      <c r="S16" s="83"/>
      <c r="T16" s="68"/>
    </row>
    <row r="17" spans="1:20" s="65" customFormat="1" ht="11.25" hidden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72">
        <f t="shared" si="1"/>
        <v>0</v>
      </c>
      <c r="O17" s="72">
        <f t="shared" si="2"/>
        <v>0</v>
      </c>
      <c r="P17" s="87"/>
      <c r="Q17" s="87"/>
      <c r="R17" s="87"/>
      <c r="S17" s="87"/>
      <c r="T17" s="77"/>
    </row>
    <row r="18" spans="1:20" s="65" customFormat="1" ht="11.25" hidden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72">
        <f t="shared" si="1"/>
        <v>0</v>
      </c>
      <c r="O18" s="72">
        <f t="shared" si="2"/>
        <v>0</v>
      </c>
      <c r="P18" s="89"/>
      <c r="Q18" s="89"/>
      <c r="R18" s="89"/>
      <c r="S18" s="89"/>
      <c r="T18" s="77"/>
    </row>
    <row r="19" spans="1:20" s="65" customFormat="1" ht="11.25" hidden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72">
        <f t="shared" si="1"/>
        <v>0</v>
      </c>
      <c r="O19" s="72">
        <f t="shared" si="2"/>
        <v>0</v>
      </c>
      <c r="P19" s="91"/>
      <c r="Q19" s="91"/>
      <c r="R19" s="91"/>
      <c r="S19" s="91"/>
      <c r="T19" s="68"/>
    </row>
    <row r="20" spans="1:20" s="65" customFormat="1" ht="11.25" hidden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72">
        <f t="shared" si="1"/>
        <v>0</v>
      </c>
      <c r="O20" s="72">
        <f t="shared" si="2"/>
        <v>0</v>
      </c>
      <c r="P20" s="93"/>
      <c r="Q20" s="93"/>
      <c r="R20" s="93"/>
      <c r="S20" s="93"/>
      <c r="T20" s="68"/>
    </row>
    <row r="21" spans="1:20" s="65" customFormat="1" ht="11.25" hidden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72">
        <f t="shared" si="1"/>
        <v>0</v>
      </c>
      <c r="O21" s="72">
        <f t="shared" si="2"/>
        <v>0</v>
      </c>
      <c r="P21" s="85"/>
      <c r="Q21" s="85"/>
      <c r="R21" s="85"/>
      <c r="S21" s="85"/>
      <c r="T21" s="68"/>
    </row>
    <row r="22" spans="1:20" s="65" customFormat="1" ht="11.25">
      <c r="A22" s="94" t="s">
        <v>94</v>
      </c>
      <c r="B22" s="95">
        <f>B3+B6</f>
        <v>-7514523.2</v>
      </c>
      <c r="C22" s="95">
        <f>C3+C6</f>
        <v>-3598208.7</v>
      </c>
      <c r="D22" s="95">
        <f>D3+D6</f>
        <v>-3591086.2</v>
      </c>
      <c r="E22" s="95">
        <f aca="true" t="shared" si="3" ref="E22:S22">E3+E6</f>
        <v>-14703818.100000001</v>
      </c>
      <c r="F22" s="95">
        <f t="shared" si="3"/>
        <v>27706338.3</v>
      </c>
      <c r="G22" s="95">
        <f t="shared" si="3"/>
        <v>28238295.3</v>
      </c>
      <c r="H22" s="95">
        <f t="shared" si="3"/>
        <v>7361111.699999999</v>
      </c>
      <c r="I22" s="95">
        <f t="shared" si="3"/>
        <v>63305745.3</v>
      </c>
      <c r="J22" s="95">
        <f t="shared" si="3"/>
        <v>48601927.19999999</v>
      </c>
      <c r="K22" s="95">
        <f t="shared" si="3"/>
        <v>10917574.3</v>
      </c>
      <c r="L22" s="95">
        <f t="shared" si="3"/>
        <v>11436335.3</v>
      </c>
      <c r="M22" s="95">
        <f t="shared" si="3"/>
        <v>11411335.3</v>
      </c>
      <c r="N22" s="95">
        <f t="shared" si="3"/>
        <v>33765244.9</v>
      </c>
      <c r="O22" s="95">
        <f t="shared" si="3"/>
        <v>82367172.1</v>
      </c>
      <c r="P22" s="95">
        <f t="shared" si="3"/>
        <v>27158742.3</v>
      </c>
      <c r="Q22" s="95">
        <f t="shared" si="3"/>
        <v>27599627.3</v>
      </c>
      <c r="R22" s="95">
        <f t="shared" si="3"/>
        <v>-4221876.7</v>
      </c>
      <c r="S22" s="95">
        <f t="shared" si="3"/>
        <v>50536492.9</v>
      </c>
      <c r="T22" s="95">
        <f>T3+T6</f>
        <v>132903665</v>
      </c>
    </row>
    <row r="23" spans="1:20" s="99" customFormat="1" ht="11.25">
      <c r="A23" s="96" t="s">
        <v>95</v>
      </c>
      <c r="B23" s="97">
        <f>B22*20%</f>
        <v>-1502904.6400000001</v>
      </c>
      <c r="C23" s="97">
        <f aca="true" t="shared" si="4" ref="C23:T23">C22*20%</f>
        <v>-719641.7400000001</v>
      </c>
      <c r="D23" s="97">
        <f t="shared" si="4"/>
        <v>-718217.2400000001</v>
      </c>
      <c r="E23" s="97">
        <f t="shared" si="4"/>
        <v>-2940763.6200000006</v>
      </c>
      <c r="F23" s="97">
        <f t="shared" si="4"/>
        <v>5541267.66</v>
      </c>
      <c r="G23" s="97">
        <f t="shared" si="4"/>
        <v>5647659.0600000005</v>
      </c>
      <c r="H23" s="97">
        <f t="shared" si="4"/>
        <v>1472222.3399999999</v>
      </c>
      <c r="I23" s="97">
        <f t="shared" si="4"/>
        <v>12661149.06</v>
      </c>
      <c r="J23" s="97">
        <f t="shared" si="4"/>
        <v>9720385.439999998</v>
      </c>
      <c r="K23" s="97">
        <f t="shared" si="4"/>
        <v>2183514.8600000003</v>
      </c>
      <c r="L23" s="97">
        <f t="shared" si="4"/>
        <v>2287267.06</v>
      </c>
      <c r="M23" s="97">
        <f t="shared" si="4"/>
        <v>2282267.06</v>
      </c>
      <c r="N23" s="97">
        <f t="shared" si="4"/>
        <v>6753048.98</v>
      </c>
      <c r="O23" s="97">
        <f t="shared" si="4"/>
        <v>16473434.42</v>
      </c>
      <c r="P23" s="97">
        <f t="shared" si="4"/>
        <v>5431748.460000001</v>
      </c>
      <c r="Q23" s="97">
        <f t="shared" si="4"/>
        <v>5519925.460000001</v>
      </c>
      <c r="R23" s="97">
        <f t="shared" si="4"/>
        <v>-844375.3400000001</v>
      </c>
      <c r="S23" s="97">
        <f t="shared" si="4"/>
        <v>10107298.58</v>
      </c>
      <c r="T23" s="97">
        <f t="shared" si="4"/>
        <v>26580733</v>
      </c>
    </row>
    <row r="24" spans="1:20" s="65" customFormat="1" ht="21">
      <c r="A24" s="100" t="s">
        <v>96</v>
      </c>
      <c r="B24" s="101">
        <f>B22-B23</f>
        <v>-6011618.5600000005</v>
      </c>
      <c r="C24" s="101">
        <f>C22-C23</f>
        <v>-2878566.96</v>
      </c>
      <c r="D24" s="101">
        <f aca="true" t="shared" si="5" ref="D24:T24">D22-D23</f>
        <v>-2872868.96</v>
      </c>
      <c r="E24" s="101">
        <f t="shared" si="5"/>
        <v>-11763054.48</v>
      </c>
      <c r="F24" s="101">
        <f t="shared" si="5"/>
        <v>22165070.64</v>
      </c>
      <c r="G24" s="101">
        <f t="shared" si="5"/>
        <v>22590636.240000002</v>
      </c>
      <c r="H24" s="101">
        <f t="shared" si="5"/>
        <v>5888889.359999999</v>
      </c>
      <c r="I24" s="101">
        <f t="shared" si="5"/>
        <v>50644596.239999995</v>
      </c>
      <c r="J24" s="101">
        <f t="shared" si="5"/>
        <v>38881541.75999999</v>
      </c>
      <c r="K24" s="101">
        <f t="shared" si="5"/>
        <v>8734059.440000001</v>
      </c>
      <c r="L24" s="101">
        <f t="shared" si="5"/>
        <v>9149068.24</v>
      </c>
      <c r="M24" s="101">
        <f t="shared" si="5"/>
        <v>9129068.24</v>
      </c>
      <c r="N24" s="101">
        <f t="shared" si="5"/>
        <v>27012195.919999998</v>
      </c>
      <c r="O24" s="101">
        <f t="shared" si="5"/>
        <v>65893737.67999999</v>
      </c>
      <c r="P24" s="101">
        <f t="shared" si="5"/>
        <v>21726993.84</v>
      </c>
      <c r="Q24" s="101">
        <f t="shared" si="5"/>
        <v>22079701.84</v>
      </c>
      <c r="R24" s="101">
        <f t="shared" si="5"/>
        <v>-3377501.3600000003</v>
      </c>
      <c r="S24" s="101">
        <f t="shared" si="5"/>
        <v>40429194.32</v>
      </c>
      <c r="T24" s="101">
        <f t="shared" si="5"/>
        <v>106322932</v>
      </c>
    </row>
    <row r="25" spans="1:20" s="65" customFormat="1" ht="11.25">
      <c r="A25" s="102" t="s">
        <v>97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68"/>
    </row>
    <row r="26" spans="1:20" s="65" customFormat="1" ht="11.25">
      <c r="A26" s="104" t="s">
        <v>98</v>
      </c>
      <c r="B26" s="105">
        <f>B24+B25</f>
        <v>-6011618.5600000005</v>
      </c>
      <c r="C26" s="105">
        <f aca="true" t="shared" si="6" ref="C26:R26">C24+C25</f>
        <v>-2878566.96</v>
      </c>
      <c r="D26" s="105">
        <f t="shared" si="6"/>
        <v>-2872868.96</v>
      </c>
      <c r="E26" s="105">
        <f t="shared" si="6"/>
        <v>-11763054.48</v>
      </c>
      <c r="F26" s="105">
        <f t="shared" si="6"/>
        <v>22165070.64</v>
      </c>
      <c r="G26" s="105">
        <f t="shared" si="6"/>
        <v>22590636.240000002</v>
      </c>
      <c r="H26" s="105">
        <f t="shared" si="6"/>
        <v>5888889.359999999</v>
      </c>
      <c r="I26" s="105">
        <f t="shared" si="6"/>
        <v>50644596.239999995</v>
      </c>
      <c r="J26" s="105">
        <f t="shared" si="6"/>
        <v>38881541.75999999</v>
      </c>
      <c r="K26" s="105">
        <f t="shared" si="6"/>
        <v>8734059.440000001</v>
      </c>
      <c r="L26" s="105">
        <f t="shared" si="6"/>
        <v>9149068.24</v>
      </c>
      <c r="M26" s="105">
        <f t="shared" si="6"/>
        <v>9129068.24</v>
      </c>
      <c r="N26" s="105">
        <f t="shared" si="6"/>
        <v>27012195.919999998</v>
      </c>
      <c r="O26" s="105">
        <f t="shared" si="6"/>
        <v>65893737.67999999</v>
      </c>
      <c r="P26" s="105">
        <f t="shared" si="6"/>
        <v>21726993.84</v>
      </c>
      <c r="Q26" s="105">
        <f t="shared" si="6"/>
        <v>22079701.84</v>
      </c>
      <c r="R26" s="105">
        <f t="shared" si="6"/>
        <v>-3377501.3600000003</v>
      </c>
      <c r="S26" s="105">
        <f>S24+S25</f>
        <v>40429194.32</v>
      </c>
      <c r="T26" s="77">
        <f>T24+T25</f>
        <v>106322932</v>
      </c>
    </row>
    <row r="27" ht="11.25">
      <c r="T27" s="107"/>
    </row>
    <row r="28" spans="1:19" ht="11.2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</row>
    <row r="29" spans="1:19" ht="11.2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</row>
    <row r="30" spans="1:42" s="106" customFormat="1" ht="11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</row>
    <row r="31" spans="1:42" s="106" customFormat="1" ht="11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</row>
    <row r="32" spans="1:42" s="106" customFormat="1" ht="11.2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</row>
    <row r="33" spans="1:42" s="106" customFormat="1" ht="11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</row>
    <row r="34" spans="1:42" s="106" customFormat="1" ht="11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</row>
    <row r="35" spans="1:42" s="106" customFormat="1" ht="11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</row>
    <row r="36" spans="1:42" s="106" customFormat="1" ht="11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</row>
    <row r="37" spans="1:42" s="106" customFormat="1" ht="11.2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</row>
    <row r="38" spans="1:42" s="106" customFormat="1" ht="11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</row>
    <row r="39" spans="1:42" s="106" customFormat="1" ht="11.2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</row>
    <row r="40" spans="1:42" s="106" customFormat="1" ht="11.2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</row>
    <row r="59" ht="11.25"/>
    <row r="60" ht="11.25"/>
    <row r="96" ht="11.25"/>
    <row r="97" ht="11.25"/>
    <row r="98" ht="11.25"/>
  </sheetData>
  <sheetProtection/>
  <protectedRanges>
    <protectedRange sqref="T25 T19:T21 T12:T16 T4:T5 T7:T10" name="IV квартал"/>
    <protectedRange sqref="T25 T19:T21 T12:T16 T4:T5 T7:T10" name="III квартал"/>
  </protectedRanges>
  <printOptions/>
  <pageMargins left="0" right="0" top="0" bottom="0" header="0" footer="0"/>
  <pageSetup horizontalDpi="600" verticalDpi="600" orientation="landscape" paperSize="9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0"/>
  <sheetViews>
    <sheetView view="pageBreakPreview" zoomScaleSheetLayoutView="100" zoomScalePageLayoutView="0" workbookViewId="0" topLeftCell="N12">
      <selection activeCell="S42" sqref="S42"/>
    </sheetView>
  </sheetViews>
  <sheetFormatPr defaultColWidth="9.140625" defaultRowHeight="15"/>
  <cols>
    <col min="1" max="1" width="2.00390625" style="41" customWidth="1"/>
    <col min="2" max="2" width="42.8515625" style="109" customWidth="1"/>
    <col min="3" max="9" width="12.421875" style="109" customWidth="1"/>
    <col min="10" max="10" width="12.421875" style="113" customWidth="1"/>
    <col min="11" max="11" width="12.421875" style="109" customWidth="1"/>
    <col min="12" max="12" width="12.421875" style="113" customWidth="1"/>
    <col min="13" max="13" width="12.421875" style="109" customWidth="1"/>
    <col min="14" max="14" width="12.421875" style="113" customWidth="1"/>
    <col min="15" max="15" width="12.421875" style="109" customWidth="1"/>
    <col min="16" max="16" width="12.421875" style="113" customWidth="1"/>
    <col min="17" max="17" width="12.421875" style="109" customWidth="1"/>
    <col min="18" max="18" width="12.421875" style="113" customWidth="1"/>
    <col min="19" max="19" width="12.421875" style="109" customWidth="1"/>
    <col min="20" max="20" width="12.421875" style="113" customWidth="1"/>
    <col min="21" max="21" width="12.421875" style="109" customWidth="1"/>
    <col min="22" max="22" width="12.421875" style="113" customWidth="1"/>
    <col min="23" max="23" width="12.421875" style="109" customWidth="1"/>
    <col min="24" max="24" width="12.421875" style="113" customWidth="1"/>
    <col min="25" max="25" width="12.421875" style="109" customWidth="1"/>
    <col min="26" max="26" width="12.421875" style="113" customWidth="1"/>
    <col min="27" max="30" width="12.421875" style="42" customWidth="1"/>
    <col min="31" max="16384" width="9.140625" style="42" customWidth="1"/>
  </cols>
  <sheetData>
    <row r="1" spans="2:26" s="41" customFormat="1" ht="15.75" customHeight="1" hidden="1">
      <c r="B1" s="116" t="s">
        <v>119</v>
      </c>
      <c r="C1" s="109"/>
      <c r="D1" s="109"/>
      <c r="E1" s="109"/>
      <c r="F1" s="109"/>
      <c r="G1" s="109"/>
      <c r="H1" s="109"/>
      <c r="I1" s="109"/>
      <c r="J1" s="110"/>
      <c r="K1" s="109"/>
      <c r="L1" s="110"/>
      <c r="M1" s="109"/>
      <c r="N1" s="110"/>
      <c r="O1" s="109"/>
      <c r="P1" s="110"/>
      <c r="Q1" s="109"/>
      <c r="R1" s="110"/>
      <c r="S1" s="109"/>
      <c r="T1" s="110"/>
      <c r="U1" s="109"/>
      <c r="V1" s="110"/>
      <c r="W1" s="109"/>
      <c r="X1" s="110"/>
      <c r="Y1" s="109"/>
      <c r="Z1" s="110"/>
    </row>
    <row r="2" spans="2:26" s="41" customFormat="1" ht="11.25" customHeight="1" hidden="1">
      <c r="B2" s="117" t="s">
        <v>120</v>
      </c>
      <c r="C2" s="109"/>
      <c r="D2" s="109"/>
      <c r="E2" s="109"/>
      <c r="F2" s="109"/>
      <c r="G2" s="109"/>
      <c r="H2" s="109"/>
      <c r="I2" s="109"/>
      <c r="J2" s="110"/>
      <c r="K2" s="109"/>
      <c r="L2" s="110"/>
      <c r="M2" s="109"/>
      <c r="N2" s="110"/>
      <c r="O2" s="109"/>
      <c r="P2" s="110"/>
      <c r="Q2" s="109"/>
      <c r="R2" s="110"/>
      <c r="S2" s="109"/>
      <c r="T2" s="110"/>
      <c r="U2" s="109"/>
      <c r="V2" s="110"/>
      <c r="W2" s="109"/>
      <c r="X2" s="110"/>
      <c r="Y2" s="109"/>
      <c r="Z2" s="110"/>
    </row>
    <row r="3" spans="2:26" s="41" customFormat="1" ht="11.25" customHeight="1" hidden="1">
      <c r="B3" s="117" t="s">
        <v>121</v>
      </c>
      <c r="C3" s="109"/>
      <c r="D3" s="109"/>
      <c r="E3" s="109"/>
      <c r="F3" s="109"/>
      <c r="G3" s="109"/>
      <c r="H3" s="109"/>
      <c r="I3" s="109"/>
      <c r="J3" s="110"/>
      <c r="K3" s="109"/>
      <c r="L3" s="110"/>
      <c r="M3" s="109"/>
      <c r="N3" s="110"/>
      <c r="O3" s="109"/>
      <c r="P3" s="110"/>
      <c r="Q3" s="109"/>
      <c r="R3" s="110"/>
      <c r="S3" s="109"/>
      <c r="T3" s="110"/>
      <c r="U3" s="109"/>
      <c r="V3" s="110"/>
      <c r="W3" s="109"/>
      <c r="X3" s="110"/>
      <c r="Y3" s="109"/>
      <c r="Z3" s="110"/>
    </row>
    <row r="4" spans="2:26" s="41" customFormat="1" ht="11.25" customHeight="1" hidden="1">
      <c r="B4" s="117" t="s">
        <v>122</v>
      </c>
      <c r="C4" s="109"/>
      <c r="D4" s="109"/>
      <c r="E4" s="109"/>
      <c r="F4" s="109"/>
      <c r="G4" s="109"/>
      <c r="H4" s="109"/>
      <c r="I4" s="109"/>
      <c r="J4" s="110"/>
      <c r="K4" s="109"/>
      <c r="L4" s="110"/>
      <c r="M4" s="109"/>
      <c r="N4" s="110"/>
      <c r="O4" s="109"/>
      <c r="P4" s="110"/>
      <c r="Q4" s="109"/>
      <c r="R4" s="110"/>
      <c r="S4" s="109"/>
      <c r="T4" s="110"/>
      <c r="U4" s="109"/>
      <c r="V4" s="110"/>
      <c r="W4" s="109"/>
      <c r="X4" s="110"/>
      <c r="Y4" s="109"/>
      <c r="Z4" s="110"/>
    </row>
    <row r="5" spans="2:26" s="41" customFormat="1" ht="22.5" customHeight="1" hidden="1">
      <c r="B5" s="118" t="s">
        <v>123</v>
      </c>
      <c r="C5" s="118"/>
      <c r="D5" s="118"/>
      <c r="E5" s="111"/>
      <c r="F5" s="111"/>
      <c r="G5" s="111"/>
      <c r="H5" s="111"/>
      <c r="I5" s="111"/>
      <c r="J5" s="110"/>
      <c r="K5" s="111"/>
      <c r="L5" s="110"/>
      <c r="M5" s="111"/>
      <c r="N5" s="110"/>
      <c r="O5" s="111"/>
      <c r="P5" s="110"/>
      <c r="Q5" s="111"/>
      <c r="R5" s="110"/>
      <c r="S5" s="111"/>
      <c r="T5" s="110"/>
      <c r="U5" s="111"/>
      <c r="V5" s="110"/>
      <c r="W5" s="111"/>
      <c r="X5" s="110"/>
      <c r="Y5" s="111"/>
      <c r="Z5" s="110"/>
    </row>
    <row r="6" spans="1:25" ht="12.75" hidden="1">
      <c r="A6" s="42"/>
      <c r="B6" s="112"/>
      <c r="C6" s="112"/>
      <c r="D6" s="112"/>
      <c r="E6" s="112"/>
      <c r="F6" s="112"/>
      <c r="G6" s="112"/>
      <c r="H6" s="112"/>
      <c r="I6" s="112"/>
      <c r="K6" s="112"/>
      <c r="M6" s="112"/>
      <c r="O6" s="112"/>
      <c r="Q6" s="112"/>
      <c r="S6" s="112"/>
      <c r="U6" s="112"/>
      <c r="W6" s="112"/>
      <c r="Y6" s="112"/>
    </row>
    <row r="7" spans="1:25" ht="12.75">
      <c r="A7" s="42"/>
      <c r="B7" s="141">
        <v>2014</v>
      </c>
      <c r="C7" s="112"/>
      <c r="D7" s="112"/>
      <c r="E7" s="112"/>
      <c r="F7" s="112"/>
      <c r="G7" s="112"/>
      <c r="H7" s="112"/>
      <c r="I7" s="112"/>
      <c r="K7" s="112"/>
      <c r="M7" s="112"/>
      <c r="O7" s="112"/>
      <c r="Q7" s="112"/>
      <c r="S7" s="112"/>
      <c r="U7" s="112"/>
      <c r="W7" s="112"/>
      <c r="Y7" s="112"/>
    </row>
    <row r="8" spans="1:26" ht="11.25" customHeight="1">
      <c r="A8" s="42"/>
      <c r="B8" s="43" t="s">
        <v>124</v>
      </c>
      <c r="C8" s="119" t="s">
        <v>152</v>
      </c>
      <c r="D8" s="120"/>
      <c r="E8" s="119" t="s">
        <v>153</v>
      </c>
      <c r="F8" s="120"/>
      <c r="G8" s="119" t="s">
        <v>154</v>
      </c>
      <c r="H8" s="120"/>
      <c r="I8" s="119" t="s">
        <v>155</v>
      </c>
      <c r="J8" s="120"/>
      <c r="K8" s="119" t="s">
        <v>156</v>
      </c>
      <c r="L8" s="120"/>
      <c r="M8" s="119" t="s">
        <v>157</v>
      </c>
      <c r="N8" s="120"/>
      <c r="O8" s="119" t="s">
        <v>158</v>
      </c>
      <c r="P8" s="120"/>
      <c r="Q8" s="119" t="s">
        <v>159</v>
      </c>
      <c r="R8" s="120"/>
      <c r="S8" s="119" t="s">
        <v>160</v>
      </c>
      <c r="T8" s="120"/>
      <c r="U8" s="119" t="s">
        <v>161</v>
      </c>
      <c r="V8" s="120"/>
      <c r="W8" s="119" t="s">
        <v>162</v>
      </c>
      <c r="X8" s="120"/>
      <c r="Y8" s="119" t="s">
        <v>163</v>
      </c>
      <c r="Z8" s="120"/>
    </row>
    <row r="9" spans="1:26" ht="11.25" customHeight="1">
      <c r="A9" s="42"/>
      <c r="B9" s="43"/>
      <c r="C9" s="44" t="s">
        <v>125</v>
      </c>
      <c r="D9" s="44" t="s">
        <v>126</v>
      </c>
      <c r="E9" s="44" t="s">
        <v>125</v>
      </c>
      <c r="F9" s="44" t="s">
        <v>126</v>
      </c>
      <c r="G9" s="44" t="s">
        <v>125</v>
      </c>
      <c r="H9" s="44" t="s">
        <v>126</v>
      </c>
      <c r="I9" s="44" t="s">
        <v>125</v>
      </c>
      <c r="J9" s="44" t="s">
        <v>126</v>
      </c>
      <c r="K9" s="44" t="s">
        <v>125</v>
      </c>
      <c r="L9" s="44" t="s">
        <v>126</v>
      </c>
      <c r="M9" s="44" t="s">
        <v>125</v>
      </c>
      <c r="N9" s="44" t="s">
        <v>126</v>
      </c>
      <c r="O9" s="44" t="s">
        <v>125</v>
      </c>
      <c r="P9" s="44" t="s">
        <v>126</v>
      </c>
      <c r="Q9" s="44" t="s">
        <v>125</v>
      </c>
      <c r="R9" s="44" t="s">
        <v>126</v>
      </c>
      <c r="S9" s="44" t="s">
        <v>125</v>
      </c>
      <c r="T9" s="44" t="s">
        <v>126</v>
      </c>
      <c r="U9" s="44" t="s">
        <v>125</v>
      </c>
      <c r="V9" s="44" t="s">
        <v>126</v>
      </c>
      <c r="W9" s="44" t="s">
        <v>125</v>
      </c>
      <c r="X9" s="44" t="s">
        <v>126</v>
      </c>
      <c r="Y9" s="44" t="s">
        <v>125</v>
      </c>
      <c r="Z9" s="44" t="s">
        <v>126</v>
      </c>
    </row>
    <row r="10" spans="1:26" ht="11.25" customHeight="1">
      <c r="A10" s="42"/>
      <c r="B10" s="43" t="s">
        <v>127</v>
      </c>
      <c r="C10" s="44"/>
      <c r="D10" s="44"/>
      <c r="E10" s="45">
        <f>C60-D60</f>
        <v>-53780650.36928</v>
      </c>
      <c r="F10" s="44"/>
      <c r="G10" s="45">
        <f>E10+E60-F60</f>
        <v>-56321200.50816</v>
      </c>
      <c r="H10" s="44"/>
      <c r="I10" s="45">
        <f>G10+G60-H60</f>
        <v>-58986978.41664</v>
      </c>
      <c r="J10" s="44"/>
      <c r="K10" s="45">
        <f>I10+I60-J60</f>
        <v>-113660115.67424</v>
      </c>
      <c r="L10" s="44"/>
      <c r="M10" s="45">
        <f>K10+K60-L60</f>
        <v>-117472795.884224</v>
      </c>
      <c r="N10" s="44"/>
      <c r="O10" s="46">
        <f>M10+M60-N60</f>
        <v>-115525143.282144</v>
      </c>
      <c r="P10" s="44"/>
      <c r="Q10" s="46">
        <f>O10+O60-P60</f>
        <v>-109651809.967104</v>
      </c>
      <c r="R10" s="44"/>
      <c r="S10" s="46">
        <f>Q10+Q60-R60</f>
        <v>-105149592.26124161</v>
      </c>
      <c r="T10" s="44"/>
      <c r="U10" s="46">
        <f>S10+S60-T60</f>
        <v>-98098677.2116736</v>
      </c>
      <c r="V10" s="44"/>
      <c r="W10" s="46">
        <f>U10+U60-V60</f>
        <v>-95014990.40239361</v>
      </c>
      <c r="X10" s="44"/>
      <c r="Y10" s="46">
        <f>W10+W60-X60</f>
        <v>-88856203.03880961</v>
      </c>
      <c r="Z10" s="44"/>
    </row>
    <row r="11" spans="2:26" s="41" customFormat="1" ht="5.25" customHeight="1"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11.25" customHeight="1">
      <c r="A12" s="42"/>
      <c r="B12" s="43" t="s">
        <v>128</v>
      </c>
      <c r="C12" s="47"/>
      <c r="D12" s="48"/>
      <c r="E12" s="47"/>
      <c r="F12" s="48"/>
      <c r="G12" s="47"/>
      <c r="H12" s="48"/>
      <c r="I12" s="47"/>
      <c r="J12" s="48"/>
      <c r="K12" s="47"/>
      <c r="L12" s="48"/>
      <c r="M12" s="47"/>
      <c r="N12" s="48"/>
      <c r="O12" s="47"/>
      <c r="P12" s="48"/>
      <c r="Q12" s="47"/>
      <c r="R12" s="48"/>
      <c r="S12" s="47"/>
      <c r="T12" s="48"/>
      <c r="U12" s="47"/>
      <c r="V12" s="48"/>
      <c r="W12" s="47"/>
      <c r="X12" s="48"/>
      <c r="Y12" s="47"/>
      <c r="Z12" s="48"/>
    </row>
    <row r="13" spans="2:26" s="41" customFormat="1" ht="4.5" customHeight="1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11.25" customHeight="1">
      <c r="A14" s="42"/>
      <c r="B14" s="43" t="s">
        <v>91</v>
      </c>
      <c r="C14" s="47"/>
      <c r="D14" s="48"/>
      <c r="E14" s="47"/>
      <c r="F14" s="48"/>
      <c r="G14" s="47"/>
      <c r="H14" s="48"/>
      <c r="I14" s="47"/>
      <c r="J14" s="48"/>
      <c r="K14" s="47">
        <f>'2014'!C35+'2014'!D35</f>
        <v>1622459.9116800001</v>
      </c>
      <c r="L14" s="48"/>
      <c r="M14" s="47">
        <f>'2014'!E35*50%</f>
        <v>8788324.5216</v>
      </c>
      <c r="N14" s="48"/>
      <c r="O14" s="47">
        <f>'2014'!E35*50%+'2014'!F35*30%</f>
        <v>14061319.234560002</v>
      </c>
      <c r="P14" s="48"/>
      <c r="Q14" s="47">
        <f>'2014'!G35%+'2014'!F35*70%</f>
        <v>12392889.6253824</v>
      </c>
      <c r="R14" s="48"/>
      <c r="S14" s="47">
        <f>'2014'!H35+'2014'!I35</f>
        <v>17847059.028480005</v>
      </c>
      <c r="T14" s="48"/>
      <c r="U14" s="47">
        <f>'2014'!J35+'2014'!K35*20%</f>
        <v>12438859.322880004</v>
      </c>
      <c r="V14" s="48"/>
      <c r="W14" s="47">
        <f>'2014'!K35*80%</f>
        <v>14061319.234560002</v>
      </c>
      <c r="X14" s="48"/>
      <c r="Y14" s="47">
        <f>'2014'!L35*70%</f>
        <v>12303654.33024</v>
      </c>
      <c r="Z14" s="48"/>
    </row>
    <row r="15" spans="2:26" s="41" customFormat="1" ht="4.5" customHeight="1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12.75" customHeight="1">
      <c r="A16" s="42"/>
      <c r="B16" s="43" t="s">
        <v>137</v>
      </c>
      <c r="C16" s="48"/>
      <c r="D16" s="47">
        <f>'2014'!C8</f>
        <v>20030.369280000003</v>
      </c>
      <c r="E16" s="48"/>
      <c r="F16" s="47">
        <f>'2014'!D8*50%</f>
        <v>20030.369280000003</v>
      </c>
      <c r="G16" s="48"/>
      <c r="H16" s="47">
        <f>'2014'!D8*50%</f>
        <v>20030.369280000003</v>
      </c>
      <c r="I16" s="48"/>
      <c r="J16" s="47">
        <f>'2014'!E8*30%+'2014'!F8*70%</f>
        <v>650987.0016000001</v>
      </c>
      <c r="K16" s="48"/>
      <c r="L16" s="47">
        <f>'2014'!F8*30%+'2014'!G8*70%</f>
        <v>426646.86566400004</v>
      </c>
      <c r="M16" s="48"/>
      <c r="N16" s="47">
        <f>'2014'!G8*30%+'2014'!H8*70%</f>
        <v>330501.0931200001</v>
      </c>
      <c r="O16" s="48"/>
      <c r="P16" s="47">
        <f>'2014'!H8*30%+'2014'!I8*70%</f>
        <v>330501.0931200001</v>
      </c>
      <c r="Q16" s="48"/>
      <c r="R16" s="47">
        <f>'2014'!I8*30%+'2014'!J8*70%</f>
        <v>330501.0931200001</v>
      </c>
      <c r="S16" s="48"/>
      <c r="T16" s="47">
        <f>'2014'!J8*30%+'2014'!K8*70%</f>
        <v>554841.2290560001</v>
      </c>
      <c r="U16" s="48"/>
      <c r="V16" s="47">
        <f>'2014'!K8*30%+'2014'!L8*70%</f>
        <v>650987.0016000001</v>
      </c>
      <c r="W16" s="48"/>
      <c r="X16" s="47">
        <f>'2014'!L8*30%+'2014'!M8*70%</f>
        <v>209317.35897600002</v>
      </c>
      <c r="Y16" s="48"/>
      <c r="Z16" s="47">
        <f>'2014'!M8*30%</f>
        <v>6009.110784</v>
      </c>
    </row>
    <row r="17" spans="2:26" s="41" customFormat="1" ht="4.5" customHeight="1"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2:26" s="49" customFormat="1" ht="11.25" customHeight="1">
      <c r="B18" s="50" t="s">
        <v>145</v>
      </c>
      <c r="C18" s="51"/>
      <c r="D18" s="52"/>
      <c r="E18" s="51"/>
      <c r="F18" s="52">
        <f>'2014'!B18*30.2%</f>
        <v>343072</v>
      </c>
      <c r="G18" s="51"/>
      <c r="H18" s="52">
        <f>'2014'!C18*30.2%</f>
        <v>343072</v>
      </c>
      <c r="I18" s="51"/>
      <c r="J18" s="52">
        <f>'2014'!D18*30.2%</f>
        <v>343072</v>
      </c>
      <c r="K18" s="51"/>
      <c r="L18" s="52">
        <f>'2014'!E18*30.2%</f>
        <v>343072</v>
      </c>
      <c r="M18" s="51"/>
      <c r="N18" s="52">
        <f>'2014'!F18*30.2%</f>
        <v>343072</v>
      </c>
      <c r="O18" s="51"/>
      <c r="P18" s="52">
        <f>'2014'!G18*30.2%</f>
        <v>343072</v>
      </c>
      <c r="Q18" s="51"/>
      <c r="R18" s="52">
        <f>'2014'!H18*30.2%</f>
        <v>343072</v>
      </c>
      <c r="S18" s="51"/>
      <c r="T18" s="52">
        <f>'2014'!I18*30.2%</f>
        <v>343072</v>
      </c>
      <c r="U18" s="51"/>
      <c r="V18" s="52">
        <f>'2014'!J18*30.2%</f>
        <v>343072</v>
      </c>
      <c r="W18" s="51"/>
      <c r="X18" s="52">
        <f>'2014'!K18*30.2%</f>
        <v>343072</v>
      </c>
      <c r="Y18" s="51"/>
      <c r="Z18" s="52">
        <f>'2014'!L18*30.2%</f>
        <v>343072</v>
      </c>
    </row>
    <row r="19" spans="2:26" s="41" customFormat="1" ht="4.5" customHeight="1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11.25" customHeight="1">
      <c r="A20" s="42"/>
      <c r="B20" s="43" t="s">
        <v>144</v>
      </c>
      <c r="C20" s="48"/>
      <c r="D20" s="47">
        <f>'2014'!B18*40%</f>
        <v>454400</v>
      </c>
      <c r="E20" s="48"/>
      <c r="F20" s="47">
        <f>'2014'!C18</f>
        <v>1136000</v>
      </c>
      <c r="G20" s="48"/>
      <c r="H20" s="47">
        <f>'2014'!D18</f>
        <v>1136000</v>
      </c>
      <c r="I20" s="48"/>
      <c r="J20" s="47">
        <f>'2014'!E18</f>
        <v>1136000</v>
      </c>
      <c r="K20" s="48"/>
      <c r="L20" s="47">
        <f>'2014'!F18</f>
        <v>1136000</v>
      </c>
      <c r="M20" s="48"/>
      <c r="N20" s="47">
        <f>'2014'!G18</f>
        <v>1136000</v>
      </c>
      <c r="O20" s="48"/>
      <c r="P20" s="47">
        <f>'2014'!H18</f>
        <v>1136000</v>
      </c>
      <c r="Q20" s="48"/>
      <c r="R20" s="47">
        <f>'2014'!I18</f>
        <v>1136000</v>
      </c>
      <c r="S20" s="48"/>
      <c r="T20" s="47">
        <f>'2014'!J18</f>
        <v>1136000</v>
      </c>
      <c r="U20" s="48"/>
      <c r="V20" s="47">
        <f>'2014'!K18</f>
        <v>1136000</v>
      </c>
      <c r="W20" s="48"/>
      <c r="X20" s="47">
        <f>'2014'!L18</f>
        <v>1136000</v>
      </c>
      <c r="Y20" s="48"/>
      <c r="Z20" s="47">
        <f>'2014'!M18</f>
        <v>1136000</v>
      </c>
    </row>
    <row r="21" spans="2:26" s="41" customFormat="1" ht="4.5" customHeight="1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12" customHeight="1">
      <c r="A22" s="42"/>
      <c r="B22" s="43" t="s">
        <v>139</v>
      </c>
      <c r="C22" s="48"/>
      <c r="D22" s="47"/>
      <c r="E22" s="48"/>
      <c r="F22" s="47"/>
      <c r="G22" s="48"/>
      <c r="H22" s="47"/>
      <c r="I22" s="48"/>
      <c r="J22" s="47"/>
      <c r="K22" s="48"/>
      <c r="L22" s="47"/>
      <c r="M22" s="48"/>
      <c r="N22" s="47"/>
      <c r="O22" s="48"/>
      <c r="P22" s="47"/>
      <c r="Q22" s="48"/>
      <c r="R22" s="47"/>
      <c r="S22" s="48"/>
      <c r="T22" s="47">
        <f>'2014'!B26+'2014'!G27</f>
        <v>3706131.923456</v>
      </c>
      <c r="U22" s="48"/>
      <c r="V22" s="47"/>
      <c r="W22" s="48"/>
      <c r="X22" s="47"/>
      <c r="Y22" s="48"/>
      <c r="Z22" s="47"/>
    </row>
    <row r="23" spans="2:26" s="41" customFormat="1" ht="4.5" customHeight="1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11.25" customHeight="1">
      <c r="A24" s="42"/>
      <c r="B24" s="43" t="s">
        <v>143</v>
      </c>
      <c r="C24" s="48"/>
      <c r="D24" s="47"/>
      <c r="E24" s="48"/>
      <c r="F24" s="47">
        <f>'2014'!C28</f>
        <v>150227.76960000003</v>
      </c>
      <c r="G24" s="48"/>
      <c r="H24" s="47">
        <f>'2014'!D28</f>
        <v>300455.53920000006</v>
      </c>
      <c r="I24" s="48"/>
      <c r="J24" s="47">
        <f>'2014'!E28*50%</f>
        <v>2441201.256</v>
      </c>
      <c r="K24" s="48"/>
      <c r="L24" s="47">
        <f>'2014'!F28*50%</f>
        <v>2441201.256</v>
      </c>
      <c r="M24" s="48"/>
      <c r="N24" s="47">
        <f>'2014'!E28*25%+'2014'!G28</f>
        <v>3699358.8264000006</v>
      </c>
      <c r="O24" s="48"/>
      <c r="P24" s="47">
        <f>'2014'!H28+'2014'!E28*25%</f>
        <v>3699358.8264000006</v>
      </c>
      <c r="Q24" s="48"/>
      <c r="R24" s="47">
        <f>'2014'!I28+'2014'!F28*25%+'2014'!B28</f>
        <v>4749358.826400001</v>
      </c>
      <c r="S24" s="48"/>
      <c r="T24" s="47">
        <f>'2014'!J28+'2014'!F28*25%</f>
        <v>3699358.8264000006</v>
      </c>
      <c r="U24" s="48"/>
      <c r="V24" s="47">
        <f>'2014'!K28</f>
        <v>4882402.512</v>
      </c>
      <c r="W24" s="48"/>
      <c r="X24" s="47">
        <f>'2014'!L28</f>
        <v>4882402.512</v>
      </c>
      <c r="Y24" s="48"/>
      <c r="Z24" s="47">
        <f>'2014'!M28</f>
        <v>150227.76960000003</v>
      </c>
    </row>
    <row r="25" spans="2:26" s="41" customFormat="1" ht="4.5" customHeight="1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15" customHeight="1">
      <c r="A26" s="42"/>
      <c r="B26" s="43" t="s">
        <v>142</v>
      </c>
      <c r="C26" s="48"/>
      <c r="D26" s="47">
        <f>'2014'!B25</f>
        <v>8000</v>
      </c>
      <c r="E26" s="48"/>
      <c r="F26" s="47">
        <f>'2014'!C25</f>
        <v>8000</v>
      </c>
      <c r="G26" s="48"/>
      <c r="H26" s="47">
        <f>'2014'!D25</f>
        <v>8000</v>
      </c>
      <c r="I26" s="48"/>
      <c r="J26" s="47">
        <f>'2014'!E25</f>
        <v>8000</v>
      </c>
      <c r="K26" s="48"/>
      <c r="L26" s="47">
        <f>'2014'!F25</f>
        <v>8000</v>
      </c>
      <c r="M26" s="48"/>
      <c r="N26" s="47">
        <f>'2014'!G25</f>
        <v>8000</v>
      </c>
      <c r="O26" s="48"/>
      <c r="P26" s="47">
        <f>'2014'!H25</f>
        <v>8000</v>
      </c>
      <c r="Q26" s="48"/>
      <c r="R26" s="47">
        <f>'2014'!I25</f>
        <v>8000</v>
      </c>
      <c r="S26" s="48"/>
      <c r="T26" s="47">
        <f>'2014'!J25</f>
        <v>8000</v>
      </c>
      <c r="U26" s="48"/>
      <c r="V26" s="47">
        <f>'2014'!K25</f>
        <v>8000</v>
      </c>
      <c r="W26" s="48"/>
      <c r="X26" s="47">
        <f>'2014'!L25</f>
        <v>8000</v>
      </c>
      <c r="Y26" s="48"/>
      <c r="Z26" s="47">
        <f>'2014'!M25</f>
        <v>8000</v>
      </c>
    </row>
    <row r="27" spans="2:26" s="41" customFormat="1" ht="4.5" customHeight="1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14.25" customHeight="1">
      <c r="A28" s="42"/>
      <c r="B28" s="43" t="s">
        <v>146</v>
      </c>
      <c r="C28" s="48"/>
      <c r="D28" s="47">
        <f>'2014'!B14+50000000+2000000</f>
        <v>52040000</v>
      </c>
      <c r="E28" s="48"/>
      <c r="F28" s="47"/>
      <c r="G28" s="48"/>
      <c r="H28" s="47"/>
      <c r="I28" s="48"/>
      <c r="J28" s="47">
        <f>'2014'!E14+48000000</f>
        <v>48010000</v>
      </c>
      <c r="K28" s="48"/>
      <c r="L28" s="47"/>
      <c r="M28" s="48"/>
      <c r="N28" s="47"/>
      <c r="O28" s="48"/>
      <c r="P28" s="47">
        <f>'2014'!H14</f>
        <v>40000</v>
      </c>
      <c r="Q28" s="48"/>
      <c r="R28" s="47"/>
      <c r="S28" s="48"/>
      <c r="T28" s="47"/>
      <c r="U28" s="48"/>
      <c r="V28" s="47">
        <f>'2014'!K14</f>
        <v>10000</v>
      </c>
      <c r="W28" s="48"/>
      <c r="X28" s="47"/>
      <c r="Y28" s="48"/>
      <c r="Z28" s="47"/>
    </row>
    <row r="29" spans="2:26" s="41" customFormat="1" ht="4.5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11.25" customHeight="1">
      <c r="A30" s="42"/>
      <c r="B30" s="43" t="s">
        <v>141</v>
      </c>
      <c r="C30" s="48"/>
      <c r="D30" s="47"/>
      <c r="E30" s="48"/>
      <c r="F30" s="47"/>
      <c r="G30" s="48"/>
      <c r="H30" s="47"/>
      <c r="I30" s="48"/>
      <c r="J30" s="47">
        <f>'2014'!E29</f>
        <v>12000</v>
      </c>
      <c r="K30" s="48"/>
      <c r="L30" s="47">
        <f>'2014'!F29</f>
        <v>12000</v>
      </c>
      <c r="M30" s="48"/>
      <c r="N30" s="47">
        <f>'2014'!G29</f>
        <v>12000</v>
      </c>
      <c r="O30" s="48"/>
      <c r="P30" s="47">
        <f>'2014'!H29</f>
        <v>12000</v>
      </c>
      <c r="Q30" s="48"/>
      <c r="R30" s="47">
        <f>'2014'!I29</f>
        <v>12000</v>
      </c>
      <c r="S30" s="48"/>
      <c r="T30" s="47">
        <f>'2014'!J29</f>
        <v>12000</v>
      </c>
      <c r="U30" s="48"/>
      <c r="V30" s="47">
        <f>'2014'!K29</f>
        <v>12000</v>
      </c>
      <c r="W30" s="48"/>
      <c r="X30" s="47">
        <f>'2014'!L29</f>
        <v>12000</v>
      </c>
      <c r="Y30" s="48"/>
      <c r="Z30" s="47">
        <f>'2014'!M29</f>
        <v>12000</v>
      </c>
    </row>
    <row r="31" spans="2:26" s="41" customFormat="1" ht="4.5" customHeight="1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11.25" customHeight="1">
      <c r="A32" s="42"/>
      <c r="B32" s="43" t="s">
        <v>12</v>
      </c>
      <c r="C32" s="48"/>
      <c r="D32" s="47"/>
      <c r="E32" s="48"/>
      <c r="F32" s="47"/>
      <c r="G32" s="48"/>
      <c r="H32" s="47"/>
      <c r="I32" s="48"/>
      <c r="J32" s="47">
        <f>'2014'!E16</f>
        <v>1213657</v>
      </c>
      <c r="K32" s="48"/>
      <c r="L32" s="47"/>
      <c r="M32" s="48"/>
      <c r="N32" s="47"/>
      <c r="O32" s="48"/>
      <c r="P32" s="47">
        <f>'2014'!H16</f>
        <v>1107314</v>
      </c>
      <c r="Q32" s="48"/>
      <c r="R32" s="47"/>
      <c r="S32" s="48"/>
      <c r="T32" s="47"/>
      <c r="U32" s="48"/>
      <c r="V32" s="47">
        <f>'2014'!K16</f>
        <v>1000971</v>
      </c>
      <c r="W32" s="48"/>
      <c r="X32" s="47"/>
      <c r="Y32" s="48"/>
      <c r="Z32" s="47"/>
    </row>
    <row r="33" spans="2:26" s="41" customFormat="1" ht="4.5" customHeight="1">
      <c r="B33" s="4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2:26" s="53" customFormat="1" ht="11.25" customHeight="1">
      <c r="B34" s="43" t="s">
        <v>15</v>
      </c>
      <c r="C34" s="114"/>
      <c r="D34" s="114"/>
      <c r="E34" s="114"/>
      <c r="F34" s="115"/>
      <c r="G34" s="114"/>
      <c r="H34" s="115"/>
      <c r="I34" s="114"/>
      <c r="J34" s="115"/>
      <c r="K34" s="114"/>
      <c r="L34" s="115"/>
      <c r="M34" s="114"/>
      <c r="N34" s="115"/>
      <c r="O34" s="114"/>
      <c r="P34" s="115"/>
      <c r="Q34" s="114"/>
      <c r="R34" s="115"/>
      <c r="S34" s="114"/>
      <c r="T34" s="115"/>
      <c r="U34" s="114"/>
      <c r="V34" s="115"/>
      <c r="W34" s="114"/>
      <c r="X34" s="115"/>
      <c r="Y34" s="114"/>
      <c r="Z34" s="115"/>
    </row>
    <row r="35" spans="2:26" s="41" customFormat="1" ht="5.25" customHeight="1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11.25" customHeight="1">
      <c r="A36" s="42"/>
      <c r="B36" s="43" t="s">
        <v>148</v>
      </c>
      <c r="C36" s="54"/>
      <c r="D36" s="47">
        <f>'2014'!B30</f>
        <v>200000</v>
      </c>
      <c r="E36" s="54"/>
      <c r="F36" s="47"/>
      <c r="G36" s="54"/>
      <c r="H36" s="47"/>
      <c r="I36" s="54"/>
      <c r="J36" s="47"/>
      <c r="K36" s="54"/>
      <c r="L36" s="47"/>
      <c r="M36" s="54"/>
      <c r="N36" s="47"/>
      <c r="O36" s="54"/>
      <c r="P36" s="47"/>
      <c r="Q36" s="54"/>
      <c r="R36" s="47"/>
      <c r="S36" s="54"/>
      <c r="T36" s="47"/>
      <c r="U36" s="54"/>
      <c r="V36" s="47"/>
      <c r="W36" s="54"/>
      <c r="X36" s="47"/>
      <c r="Y36" s="54"/>
      <c r="Z36" s="47"/>
    </row>
    <row r="37" spans="2:26" s="41" customFormat="1" ht="4.5" customHeight="1"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11.25" customHeight="1" hidden="1">
      <c r="A38" s="42"/>
      <c r="B38" s="43" t="s">
        <v>129</v>
      </c>
      <c r="C38" s="48"/>
      <c r="D38" s="54"/>
      <c r="E38" s="48"/>
      <c r="F38" s="54"/>
      <c r="G38" s="48"/>
      <c r="H38" s="54"/>
      <c r="I38" s="48"/>
      <c r="J38" s="54"/>
      <c r="K38" s="48"/>
      <c r="L38" s="54"/>
      <c r="M38" s="48"/>
      <c r="N38" s="54"/>
      <c r="O38" s="48"/>
      <c r="P38" s="54"/>
      <c r="Q38" s="48"/>
      <c r="R38" s="54"/>
      <c r="S38" s="48"/>
      <c r="T38" s="54"/>
      <c r="U38" s="48"/>
      <c r="V38" s="54"/>
      <c r="W38" s="48"/>
      <c r="X38" s="54"/>
      <c r="Y38" s="48"/>
      <c r="Z38" s="54"/>
    </row>
    <row r="39" spans="2:26" s="41" customFormat="1" ht="4.5" customHeight="1" hidden="1"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14.25" customHeight="1" hidden="1">
      <c r="A40" s="42"/>
      <c r="B40" s="43" t="s">
        <v>130</v>
      </c>
      <c r="C40" s="48"/>
      <c r="D40" s="47"/>
      <c r="E40" s="48"/>
      <c r="F40" s="47"/>
      <c r="G40" s="48"/>
      <c r="H40" s="47"/>
      <c r="I40" s="48"/>
      <c r="J40" s="47"/>
      <c r="K40" s="48"/>
      <c r="L40" s="47"/>
      <c r="M40" s="48"/>
      <c r="N40" s="47"/>
      <c r="O40" s="48"/>
      <c r="P40" s="47"/>
      <c r="Q40" s="48"/>
      <c r="R40" s="47"/>
      <c r="S40" s="48"/>
      <c r="T40" s="47"/>
      <c r="U40" s="48"/>
      <c r="V40" s="47"/>
      <c r="W40" s="48"/>
      <c r="X40" s="47"/>
      <c r="Y40" s="48"/>
      <c r="Z40" s="47"/>
    </row>
    <row r="41" spans="2:26" s="41" customFormat="1" ht="4.5" customHeight="1" hidden="1"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11.25" customHeight="1">
      <c r="A42" s="42"/>
      <c r="B42" s="43" t="s">
        <v>131</v>
      </c>
      <c r="C42" s="48"/>
      <c r="D42" s="47">
        <f>'2014'!B10</f>
        <v>200000</v>
      </c>
      <c r="E42" s="48"/>
      <c r="F42" s="47">
        <f>'2014'!C10</f>
        <v>200000</v>
      </c>
      <c r="G42" s="48"/>
      <c r="H42" s="47">
        <f>'2014'!D10</f>
        <v>200000</v>
      </c>
      <c r="I42" s="48"/>
      <c r="J42" s="47">
        <f>'2014'!F10</f>
        <v>200000</v>
      </c>
      <c r="K42" s="48"/>
      <c r="L42" s="47">
        <f>'2014'!F10</f>
        <v>200000</v>
      </c>
      <c r="M42" s="48"/>
      <c r="N42" s="47">
        <f>'2014'!G10</f>
        <v>200000</v>
      </c>
      <c r="O42" s="48"/>
      <c r="P42" s="47">
        <f>'2014'!H10</f>
        <v>200000</v>
      </c>
      <c r="Q42" s="48"/>
      <c r="R42" s="47">
        <f>'2014'!I10</f>
        <v>200000</v>
      </c>
      <c r="S42" s="48"/>
      <c r="T42" s="47">
        <f>'2014'!J10</f>
        <v>200000</v>
      </c>
      <c r="U42" s="48"/>
      <c r="V42" s="47">
        <f>'2014'!K10</f>
        <v>200000</v>
      </c>
      <c r="W42" s="48"/>
      <c r="X42" s="47">
        <f>'2014'!L10</f>
        <v>200000</v>
      </c>
      <c r="Y42" s="48"/>
      <c r="Z42" s="47">
        <f>'2014'!M10</f>
        <v>200000</v>
      </c>
    </row>
    <row r="43" spans="2:26" s="41" customFormat="1" ht="4.5" customHeight="1"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11.25" customHeight="1">
      <c r="A44" s="42"/>
      <c r="B44" s="43" t="s">
        <v>138</v>
      </c>
      <c r="C44" s="48"/>
      <c r="D44" s="47">
        <f>'2014'!B22</f>
        <v>40000</v>
      </c>
      <c r="E44" s="48"/>
      <c r="F44" s="47">
        <f>'2014'!C22</f>
        <v>40000</v>
      </c>
      <c r="G44" s="48"/>
      <c r="H44" s="47">
        <f>'2014'!D22</f>
        <v>40000</v>
      </c>
      <c r="I44" s="48"/>
      <c r="J44" s="47">
        <f>'2014'!E22</f>
        <v>40000</v>
      </c>
      <c r="K44" s="48"/>
      <c r="L44" s="47">
        <f>'2014'!F22</f>
        <v>40000</v>
      </c>
      <c r="M44" s="48"/>
      <c r="N44" s="47">
        <f>'2014'!G22</f>
        <v>40000</v>
      </c>
      <c r="O44" s="48"/>
      <c r="P44" s="47">
        <f>'2014'!H22</f>
        <v>40000</v>
      </c>
      <c r="Q44" s="48"/>
      <c r="R44" s="47">
        <f>'2014'!I22</f>
        <v>40000</v>
      </c>
      <c r="S44" s="48"/>
      <c r="T44" s="47">
        <f>'2014'!J22</f>
        <v>40000</v>
      </c>
      <c r="U44" s="48"/>
      <c r="V44" s="47">
        <f>'2014'!K22</f>
        <v>40000</v>
      </c>
      <c r="W44" s="48"/>
      <c r="X44" s="47">
        <f>'2014'!L22</f>
        <v>40000</v>
      </c>
      <c r="Y44" s="48"/>
      <c r="Z44" s="47">
        <f>'2014'!M22</f>
        <v>40000</v>
      </c>
    </row>
    <row r="45" spans="2:26" s="41" customFormat="1" ht="4.5" customHeight="1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11.25" customHeight="1">
      <c r="A46" s="42"/>
      <c r="B46" s="43" t="s">
        <v>140</v>
      </c>
      <c r="C46" s="48"/>
      <c r="D46" s="47">
        <f>'2014'!B11+'2014'!B30+'2014'!B31</f>
        <v>648720</v>
      </c>
      <c r="E46" s="48"/>
      <c r="F46" s="47">
        <f>'2014'!C11+'2014'!C30+'2014'!C31</f>
        <v>448720</v>
      </c>
      <c r="G46" s="48"/>
      <c r="H46" s="47">
        <f>'2014'!D11+'2014'!D30+'2014'!D31</f>
        <v>448720</v>
      </c>
      <c r="I46" s="48"/>
      <c r="J46" s="47">
        <f>'2014'!E11+'2014'!E30+'2014'!E31</f>
        <v>448720</v>
      </c>
      <c r="K46" s="48"/>
      <c r="L46" s="47">
        <f>'2014'!F11+'2014'!F30+'2014'!F31</f>
        <v>448720</v>
      </c>
      <c r="M46" s="48"/>
      <c r="N46" s="47">
        <f>'2014'!G11+'2014'!G30+'2014'!G31</f>
        <v>892240</v>
      </c>
      <c r="O46" s="48"/>
      <c r="P46" s="47">
        <f>'2014'!H11+'2014'!H30+'2014'!H31</f>
        <v>892240</v>
      </c>
      <c r="Q46" s="48"/>
      <c r="R46" s="47">
        <f>'2014'!I11+'2014'!I30+'2014'!I31</f>
        <v>892240</v>
      </c>
      <c r="S46" s="48"/>
      <c r="T46" s="47">
        <f>'2014'!J11+'2014'!J30+'2014'!J31</f>
        <v>892240</v>
      </c>
      <c r="U46" s="48"/>
      <c r="V46" s="47">
        <f>'2014'!K11+'2014'!K30+'2014'!K31</f>
        <v>892240</v>
      </c>
      <c r="W46" s="48"/>
      <c r="X46" s="47">
        <f>'2014'!L11+'2014'!L30+'2014'!L31</f>
        <v>892240</v>
      </c>
      <c r="Y46" s="48"/>
      <c r="Z46" s="47">
        <f>'2014'!M11+'2014'!M30+'2014'!M31</f>
        <v>892240</v>
      </c>
    </row>
    <row r="47" spans="2:26" s="41" customFormat="1" ht="4.5" customHeight="1"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1.25" customHeight="1">
      <c r="A48" s="42"/>
      <c r="B48" s="43" t="s">
        <v>151</v>
      </c>
      <c r="C48" s="48"/>
      <c r="D48" s="47"/>
      <c r="E48" s="48"/>
      <c r="F48" s="47"/>
      <c r="G48" s="48"/>
      <c r="H48" s="47"/>
      <c r="I48" s="48"/>
      <c r="J48" s="47"/>
      <c r="K48" s="48"/>
      <c r="L48" s="47">
        <v>200000</v>
      </c>
      <c r="M48" s="48"/>
      <c r="N48" s="47"/>
      <c r="O48" s="48"/>
      <c r="P48" s="47"/>
      <c r="Q48" s="48"/>
      <c r="R48" s="47"/>
      <c r="S48" s="48"/>
      <c r="T48" s="47"/>
      <c r="U48" s="48"/>
      <c r="V48" s="47"/>
      <c r="W48" s="48"/>
      <c r="X48" s="47"/>
      <c r="Y48" s="48"/>
      <c r="Z48" s="47"/>
    </row>
    <row r="49" spans="2:26" s="41" customFormat="1" ht="4.5" customHeight="1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11.25" customHeight="1">
      <c r="A50" s="42"/>
      <c r="B50" s="43" t="s">
        <v>167</v>
      </c>
      <c r="C50" s="48"/>
      <c r="D50" s="47"/>
      <c r="E50" s="48"/>
      <c r="F50" s="47"/>
      <c r="G50" s="48"/>
      <c r="H50" s="47"/>
      <c r="I50" s="48"/>
      <c r="J50" s="47"/>
      <c r="K50" s="48"/>
      <c r="L50" s="47"/>
      <c r="M50" s="48"/>
      <c r="N50" s="47"/>
      <c r="O50" s="48"/>
      <c r="P50" s="47">
        <f>'2014'!G24</f>
        <v>200000</v>
      </c>
      <c r="Q50" s="48"/>
      <c r="R50" s="47"/>
      <c r="S50" s="48"/>
      <c r="T50" s="47"/>
      <c r="U50" s="48"/>
      <c r="V50" s="47"/>
      <c r="W50" s="48"/>
      <c r="X50" s="47"/>
      <c r="Y50" s="48"/>
      <c r="Z50" s="47"/>
    </row>
    <row r="51" spans="2:26" s="41" customFormat="1" ht="4.5" customHeight="1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11.25" customHeight="1" hidden="1">
      <c r="A52" s="42"/>
      <c r="B52" s="43" t="s">
        <v>132</v>
      </c>
      <c r="C52" s="48"/>
      <c r="D52" s="47"/>
      <c r="E52" s="48"/>
      <c r="F52" s="47"/>
      <c r="G52" s="48"/>
      <c r="H52" s="47"/>
      <c r="I52" s="48"/>
      <c r="J52" s="47"/>
      <c r="K52" s="48"/>
      <c r="L52" s="47"/>
      <c r="M52" s="48"/>
      <c r="N52" s="47"/>
      <c r="O52" s="48"/>
      <c r="P52" s="47"/>
      <c r="Q52" s="48"/>
      <c r="R52" s="47"/>
      <c r="S52" s="48"/>
      <c r="T52" s="47"/>
      <c r="U52" s="48"/>
      <c r="V52" s="47"/>
      <c r="W52" s="48"/>
      <c r="X52" s="47"/>
      <c r="Y52" s="48"/>
      <c r="Z52" s="47"/>
    </row>
    <row r="53" spans="2:26" s="41" customFormat="1" ht="4.5" customHeight="1" hidden="1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11.25" customHeight="1">
      <c r="A54" s="42"/>
      <c r="B54" s="43" t="s">
        <v>133</v>
      </c>
      <c r="C54" s="48"/>
      <c r="D54" s="47">
        <f>'2014'!B12+'2014'!B15</f>
        <v>9500</v>
      </c>
      <c r="E54" s="48"/>
      <c r="F54" s="47">
        <f>'2014'!C12+'2014'!C15</f>
        <v>9500</v>
      </c>
      <c r="G54" s="48"/>
      <c r="H54" s="47">
        <f>'2014'!D12+'2014'!D15</f>
        <v>9500</v>
      </c>
      <c r="I54" s="48"/>
      <c r="J54" s="47">
        <f>'2014'!E12+'2014'!E15</f>
        <v>9500</v>
      </c>
      <c r="K54" s="48"/>
      <c r="L54" s="47">
        <f>'2014'!F12+'2014'!F15</f>
        <v>9500</v>
      </c>
      <c r="M54" s="48"/>
      <c r="N54" s="47">
        <f>'2014'!G12+'2014'!G15</f>
        <v>9500</v>
      </c>
      <c r="O54" s="48"/>
      <c r="P54" s="47">
        <f>'2014'!H12+'2014'!H15</f>
        <v>9500</v>
      </c>
      <c r="Q54" s="48"/>
      <c r="R54" s="47">
        <f>'2014'!I12+'2014'!I15</f>
        <v>9500</v>
      </c>
      <c r="S54" s="48"/>
      <c r="T54" s="47">
        <f>'2014'!J12+'2014'!J15</f>
        <v>9500</v>
      </c>
      <c r="U54" s="48"/>
      <c r="V54" s="47">
        <f>'2014'!K12+'2014'!K15</f>
        <v>9500</v>
      </c>
      <c r="W54" s="48"/>
      <c r="X54" s="47">
        <f>'2014'!L12+'2014'!L15</f>
        <v>9500</v>
      </c>
      <c r="Y54" s="48"/>
      <c r="Z54" s="47">
        <f>+'2014'!M12+'2014'!M15</f>
        <v>9500</v>
      </c>
    </row>
    <row r="55" spans="2:26" s="41" customFormat="1" ht="4.5" customHeight="1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11.25" customHeight="1">
      <c r="A56" s="42"/>
      <c r="B56" s="43" t="s">
        <v>134</v>
      </c>
      <c r="C56" s="48"/>
      <c r="D56" s="47"/>
      <c r="E56" s="48"/>
      <c r="F56" s="47">
        <f>'2014'!C21</f>
        <v>25000</v>
      </c>
      <c r="G56" s="48"/>
      <c r="H56" s="47"/>
      <c r="I56" s="48"/>
      <c r="J56" s="47"/>
      <c r="K56" s="48"/>
      <c r="L56" s="47"/>
      <c r="M56" s="48"/>
      <c r="N56" s="47"/>
      <c r="O56" s="48"/>
      <c r="P56" s="47"/>
      <c r="Q56" s="48"/>
      <c r="R56" s="47"/>
      <c r="S56" s="48"/>
      <c r="T56" s="47">
        <f>'2014'!J21</f>
        <v>25000</v>
      </c>
      <c r="U56" s="48"/>
      <c r="V56" s="47"/>
      <c r="W56" s="48"/>
      <c r="X56" s="47"/>
      <c r="Y56" s="48"/>
      <c r="Z56" s="47"/>
    </row>
    <row r="57" spans="2:26" s="41" customFormat="1" ht="4.5" customHeight="1"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1.25" customHeight="1">
      <c r="A58" s="42"/>
      <c r="B58" s="43" t="s">
        <v>135</v>
      </c>
      <c r="C58" s="48"/>
      <c r="D58" s="47">
        <f>'2014'!B7</f>
        <v>160000</v>
      </c>
      <c r="E58" s="48"/>
      <c r="F58" s="47">
        <f>'2014'!C7</f>
        <v>160000</v>
      </c>
      <c r="G58" s="48"/>
      <c r="H58" s="47">
        <f>'2014'!D7</f>
        <v>160000</v>
      </c>
      <c r="I58" s="48"/>
      <c r="J58" s="47">
        <f>'2014'!E7</f>
        <v>160000</v>
      </c>
      <c r="K58" s="48"/>
      <c r="L58" s="47">
        <f>'2014'!F7</f>
        <v>170000</v>
      </c>
      <c r="M58" s="48"/>
      <c r="N58" s="47">
        <f>'2014'!G7</f>
        <v>170000</v>
      </c>
      <c r="O58" s="48"/>
      <c r="P58" s="47">
        <f>'2014'!H7</f>
        <v>170000</v>
      </c>
      <c r="Q58" s="48"/>
      <c r="R58" s="47">
        <f>'2014'!I7</f>
        <v>170000</v>
      </c>
      <c r="S58" s="48"/>
      <c r="T58" s="47">
        <f>'2014'!J7</f>
        <v>170000</v>
      </c>
      <c r="U58" s="48"/>
      <c r="V58" s="47">
        <f>'2014'!K7</f>
        <v>170000</v>
      </c>
      <c r="W58" s="48"/>
      <c r="X58" s="47">
        <f>'2014'!L7</f>
        <v>170000</v>
      </c>
      <c r="Y58" s="48"/>
      <c r="Z58" s="47">
        <f>'2014'!M7</f>
        <v>170000</v>
      </c>
    </row>
    <row r="59" spans="2:26" s="41" customFormat="1" ht="4.5" customHeight="1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1.25" customHeight="1">
      <c r="A60" s="42"/>
      <c r="B60" s="43" t="s">
        <v>136</v>
      </c>
      <c r="C60" s="47">
        <f>SUM(C12:C58)</f>
        <v>0</v>
      </c>
      <c r="D60" s="47">
        <f>SUM(D12:D58)</f>
        <v>53780650.36928</v>
      </c>
      <c r="E60" s="47">
        <f aca="true" t="shared" si="0" ref="E60:Z60">SUM(E12:E58)</f>
        <v>0</v>
      </c>
      <c r="F60" s="47">
        <f t="shared" si="0"/>
        <v>2540550.13888</v>
      </c>
      <c r="G60" s="47">
        <f t="shared" si="0"/>
        <v>0</v>
      </c>
      <c r="H60" s="47">
        <f t="shared" si="0"/>
        <v>2665777.9084799998</v>
      </c>
      <c r="I60" s="47">
        <f t="shared" si="0"/>
        <v>0</v>
      </c>
      <c r="J60" s="47">
        <f t="shared" si="0"/>
        <v>54673137.2576</v>
      </c>
      <c r="K60" s="47">
        <f t="shared" si="0"/>
        <v>1622459.9116800001</v>
      </c>
      <c r="L60" s="47">
        <f t="shared" si="0"/>
        <v>5435140.121664001</v>
      </c>
      <c r="M60" s="47">
        <f t="shared" si="0"/>
        <v>8788324.5216</v>
      </c>
      <c r="N60" s="47">
        <f t="shared" si="0"/>
        <v>6840671.919520001</v>
      </c>
      <c r="O60" s="47">
        <f t="shared" si="0"/>
        <v>14061319.234560002</v>
      </c>
      <c r="P60" s="47">
        <f t="shared" si="0"/>
        <v>8187985.919520001</v>
      </c>
      <c r="Q60" s="47">
        <f t="shared" si="0"/>
        <v>12392889.6253824</v>
      </c>
      <c r="R60" s="47">
        <f t="shared" si="0"/>
        <v>7890671.919520001</v>
      </c>
      <c r="S60" s="47">
        <f t="shared" si="0"/>
        <v>17847059.028480005</v>
      </c>
      <c r="T60" s="47">
        <f t="shared" si="0"/>
        <v>10796143.978912001</v>
      </c>
      <c r="U60" s="47">
        <f t="shared" si="0"/>
        <v>12438859.322880004</v>
      </c>
      <c r="V60" s="47">
        <f t="shared" si="0"/>
        <v>9355172.5136</v>
      </c>
      <c r="W60" s="47">
        <f t="shared" si="0"/>
        <v>14061319.234560002</v>
      </c>
      <c r="X60" s="47">
        <f t="shared" si="0"/>
        <v>7902531.870976</v>
      </c>
      <c r="Y60" s="47">
        <f t="shared" si="0"/>
        <v>12303654.33024</v>
      </c>
      <c r="Z60" s="47">
        <f t="shared" si="0"/>
        <v>2967048.880384</v>
      </c>
    </row>
  </sheetData>
  <sheetProtection/>
  <mergeCells count="13">
    <mergeCell ref="B5:D5"/>
    <mergeCell ref="C8:D8"/>
    <mergeCell ref="E8:F8"/>
    <mergeCell ref="G8:H8"/>
    <mergeCell ref="I8:J8"/>
    <mergeCell ref="K8:L8"/>
    <mergeCell ref="Y8:Z8"/>
    <mergeCell ref="M8:N8"/>
    <mergeCell ref="O8:P8"/>
    <mergeCell ref="Q8:R8"/>
    <mergeCell ref="S8:T8"/>
    <mergeCell ref="U8:V8"/>
    <mergeCell ref="W8:X8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2013-12-18T09:54:26Z</dcterms:modified>
  <cp:category/>
  <cp:version/>
  <cp:contentType/>
  <cp:contentStatus/>
</cp:coreProperties>
</file>